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0"/>
  </bookViews>
  <sheets>
    <sheet name="1ΕΑ 2019 ΠΙΝΑΚΑΣ ΚΑΤΑΤΑΞΗΣ ΔΕ01" sheetId="1" r:id="rId1"/>
  </sheets>
  <definedNames/>
  <calcPr fullCalcOnLoad="1"/>
</workbook>
</file>

<file path=xl/sharedStrings.xml><?xml version="1.0" encoding="utf-8"?>
<sst xmlns="http://schemas.openxmlformats.org/spreadsheetml/2006/main" count="11748" uniqueCount="6266">
  <si>
    <t>ΔΕΥΤΕΡΟΒΑΘΜΙΑΣ ΕΚΠΑΙΔΕΥΣΗΣ (ΔΕ)</t>
  </si>
  <si>
    <t>Α/Α</t>
  </si>
  <si>
    <t>Α.Μ.</t>
  </si>
  <si>
    <t>ΕΠΩΝΥΜΟ</t>
  </si>
  <si>
    <t>ΟΝΟΜΑ</t>
  </si>
  <si>
    <t>ΠΑΤΡΩΝΥΜΟ</t>
  </si>
  <si>
    <t>Α.Δ.Τ.</t>
  </si>
  <si>
    <t>ΜΟΝΑΔΙΚΟΣ ΚΩΔΙΚΟΣ</t>
  </si>
  <si>
    <t>ΒΑΘΜΟΛΟΓΙΑ</t>
  </si>
  <si>
    <t>ΤΣΙΡΟΠΟΥΛΟΥ</t>
  </si>
  <si>
    <t>ΚΥΡΙΑΚΟΥΛΑ</t>
  </si>
  <si>
    <t>ΓΕΩΡΓΙΟΣ</t>
  </si>
  <si>
    <t>ΑΝ704024</t>
  </si>
  <si>
    <t>ΓΕΩΡΓΙΑΔΟΥ</t>
  </si>
  <si>
    <t>ΜΑΡΙΑ</t>
  </si>
  <si>
    <t>ΒΑΣΙΛΕΙΟΣ</t>
  </si>
  <si>
    <t>ΑΚ328761</t>
  </si>
  <si>
    <t>ΠΑΠΑΔΗΜΗΤΡΙΟΥ</t>
  </si>
  <si>
    <t>ΑΛΚΙΒΙΑΔΗΣ</t>
  </si>
  <si>
    <t>ΚΩΝΣΤΑΝΤΙΝΟΣ</t>
  </si>
  <si>
    <t>ΑΕ354267</t>
  </si>
  <si>
    <t>ΚΑΡΑΣΟΥΛΗ</t>
  </si>
  <si>
    <t>ΚΑΛΛΙΟΠΗ</t>
  </si>
  <si>
    <t>ΔΗΜΗΤΡΙΟΣ</t>
  </si>
  <si>
    <t>Φ472624</t>
  </si>
  <si>
    <t>ΧΟΥΡΝΑΖΙΔΟΥ</t>
  </si>
  <si>
    <t>ΑΝΑΣΤΑΣΙΑ</t>
  </si>
  <si>
    <t>ΑΒ714368</t>
  </si>
  <si>
    <t>ΒΛΑΧΟΠΑΝΑΓΟΥ</t>
  </si>
  <si>
    <t>ΠΑΝΑΓΙΩΤΑ</t>
  </si>
  <si>
    <t>ΝΙΚΟΛΑΟΣ</t>
  </si>
  <si>
    <t>ΑΗ513097</t>
  </si>
  <si>
    <t>ΙΟΡΔΑΝΙΔΟΥ</t>
  </si>
  <si>
    <t>ΕΥΔΟΞΙΑ</t>
  </si>
  <si>
    <t>ΑΖ293635</t>
  </si>
  <si>
    <t>ΡΑΦΑΗΛΙΔΟΥ</t>
  </si>
  <si>
    <t>ΜΑΡΙΑΝΘΗ</t>
  </si>
  <si>
    <t>ΡΩΜΥΛΟΣ</t>
  </si>
  <si>
    <t>Σ143712</t>
  </si>
  <si>
    <t>ΖΩΡΖΟΥ</t>
  </si>
  <si>
    <t>ΒΑΣΙΛΙΚΗ</t>
  </si>
  <si>
    <t>ΗΛΙΑΣ</t>
  </si>
  <si>
    <t>Φ060837</t>
  </si>
  <si>
    <t>ΧΕΙΜΩΝΑ</t>
  </si>
  <si>
    <t>ΣΟΥΜΕΛΑ</t>
  </si>
  <si>
    <t>Π408739</t>
  </si>
  <si>
    <t>ΤΣΙΓΑΡΙΔΑ</t>
  </si>
  <si>
    <t>ΠΑΝΤΕΛΗΣ</t>
  </si>
  <si>
    <t>ΑΑ309935</t>
  </si>
  <si>
    <t>ΜΠΑΛΛΑ</t>
  </si>
  <si>
    <t>ΣΠΥΡΙΔΟΥΛΑ</t>
  </si>
  <si>
    <t>ΑΘΑΝΑΣΙΟΣ</t>
  </si>
  <si>
    <t>Ρ571765</t>
  </si>
  <si>
    <t>ΚΥΡΙΑΚΕΑ</t>
  </si>
  <si>
    <t>ΜΑΡΟΥΣΩ</t>
  </si>
  <si>
    <t>ΑΝΔΡΕΑΣ</t>
  </si>
  <si>
    <t>ΑΕ066214</t>
  </si>
  <si>
    <t>ΜΑΝΩΛΑ</t>
  </si>
  <si>
    <t>ΣΤΥΛΙΑΝΗ</t>
  </si>
  <si>
    <t>ΕΥΑΓΓΕΛΟΣ</t>
  </si>
  <si>
    <t>ΑΝ420032</t>
  </si>
  <si>
    <t>ΛΟΥΛΑΚΑΚΗ</t>
  </si>
  <si>
    <t>ΑΙ437236</t>
  </si>
  <si>
    <t>ΣΟΥΛΙΔΟΥ</t>
  </si>
  <si>
    <t>ΓΑΛΑΤΕΙΑ-ΒΑΣΙΛΙΚΗ</t>
  </si>
  <si>
    <t>ΑΡΙΣΤΕΙΔΗΣ</t>
  </si>
  <si>
    <t>ΑΗ091491</t>
  </si>
  <si>
    <t>ΙΩΑΝΝΑΤΟΥ</t>
  </si>
  <si>
    <t>ΑΓΓΕΛΙΚΗ</t>
  </si>
  <si>
    <t>ΕΥΣΤΑΘΙΟΣ</t>
  </si>
  <si>
    <t>ΑΝ434845</t>
  </si>
  <si>
    <t>ΞΥΛΙΝΑ</t>
  </si>
  <si>
    <t>ΧΡΥΣΑΝΘΗ</t>
  </si>
  <si>
    <t>ΧΡΗΣΤΟΣ</t>
  </si>
  <si>
    <t>ΑΕ049543</t>
  </si>
  <si>
    <t>ΔΟΓΛΑΡΙΔΟΥ</t>
  </si>
  <si>
    <t>ΑΙΚΑΤΕΡΙΝΗ</t>
  </si>
  <si>
    <t>ΑΝ384515</t>
  </si>
  <si>
    <t>ΓΙΑΒΑΣΟΓΛΟΥ</t>
  </si>
  <si>
    <t>ΑΣΗΜΙΝΑ ΚΥΡΙΑΚ</t>
  </si>
  <si>
    <t>ΑΖ157778</t>
  </si>
  <si>
    <t>ΧΑΜΠΕΣΗ</t>
  </si>
  <si>
    <t>ΚΥΡΙΑΚΗ</t>
  </si>
  <si>
    <t>ΠΑΝΑΓΙΩΤΗΣ</t>
  </si>
  <si>
    <t>ΑΝ961649</t>
  </si>
  <si>
    <t>ΓΚΑΓΚΑΒΟΥΖΗ</t>
  </si>
  <si>
    <t>ΣΤΕΦΑΝΟΣ</t>
  </si>
  <si>
    <t>Τ197685</t>
  </si>
  <si>
    <t>ΚΟΥΚΟΥΤΣΑΚΗ</t>
  </si>
  <si>
    <t>ΕΛΕΝΗ</t>
  </si>
  <si>
    <t>ΙΩΑΝΝΗΣ</t>
  </si>
  <si>
    <t>Χ215101</t>
  </si>
  <si>
    <t>ΑΛΕΞΑΚΟΥ</t>
  </si>
  <si>
    <t>ΜΑΡΙΝΑ</t>
  </si>
  <si>
    <t>ΒΑΙΟΣ</t>
  </si>
  <si>
    <t>Φ265419</t>
  </si>
  <si>
    <t>ΠΑΠΑΔΟΠΟΥΛΟΥ</t>
  </si>
  <si>
    <t>ΑΖ344016</t>
  </si>
  <si>
    <t>ΜΠΟΥΣΙΟΥ</t>
  </si>
  <si>
    <t>ΑΝΤΩΝΙΟΣ</t>
  </si>
  <si>
    <t>ΑΙ543070</t>
  </si>
  <si>
    <t>ΔΡΑΚΟΠΟΥΛΟΥ</t>
  </si>
  <si>
    <t>ΙΩΑΝΝΑ</t>
  </si>
  <si>
    <t>ΑΑ051614</t>
  </si>
  <si>
    <t>Ζυγουριτσα</t>
  </si>
  <si>
    <t>Παρασκευή</t>
  </si>
  <si>
    <t>Ευθύμιος</t>
  </si>
  <si>
    <t>Ξ204212</t>
  </si>
  <si>
    <t>ΟΜΠΑΣΑΚΗ</t>
  </si>
  <si>
    <t>ΑΖ354542</t>
  </si>
  <si>
    <t>ΜΙΣΥΡΛΗ</t>
  </si>
  <si>
    <t>ΜΕΛΙΝΑ</t>
  </si>
  <si>
    <t>ΠΕΤΡΟΣ</t>
  </si>
  <si>
    <t>ΑΝ061539</t>
  </si>
  <si>
    <t>ΖΙΩΓΑ</t>
  </si>
  <si>
    <t>ANNA</t>
  </si>
  <si>
    <t>ΑΖ842957</t>
  </si>
  <si>
    <t>ΤΣΑΚΙΡΟΓΛΟΥ</t>
  </si>
  <si>
    <t>ΒΙΚΤΩΡΙΑ</t>
  </si>
  <si>
    <t>ΑΒ129848</t>
  </si>
  <si>
    <t>ΚΩΣΤΗ</t>
  </si>
  <si>
    <t>ΓΕΩΡΓΙΑ</t>
  </si>
  <si>
    <t>ΑΜ916123</t>
  </si>
  <si>
    <t>ΘΕΟΔΩΡΑΚΑΚΗ</t>
  </si>
  <si>
    <t>ΧΡΥΣΟΥΛΑ</t>
  </si>
  <si>
    <t>ΑΒ375579</t>
  </si>
  <si>
    <t>ΤΖΩΡΤΖΑΚΗ</t>
  </si>
  <si>
    <t>ΕΥΑΓΓΕΛΙΑ</t>
  </si>
  <si>
    <t>ΑΒ525556</t>
  </si>
  <si>
    <t>ΠΑΤΕΡΑΚΗ</t>
  </si>
  <si>
    <t>ΕΛΕΥΘΕΡΙΑ</t>
  </si>
  <si>
    <t>ΑΡΙΣΤΟΤΕΛΗΣ</t>
  </si>
  <si>
    <t>Σ010635</t>
  </si>
  <si>
    <t>ΛΟΥΚΕΑ</t>
  </si>
  <si>
    <t>ΣΩΤΗΡΙΟΣ</t>
  </si>
  <si>
    <t>ΑΙ102271</t>
  </si>
  <si>
    <t>ΑΛΕΞΟΥΔΗ</t>
  </si>
  <si>
    <t>ΕΥΦΡΟΣΥΝΗ</t>
  </si>
  <si>
    <t>ΑΗ114697</t>
  </si>
  <si>
    <t>ΓΡΗΓΟΡΙΑΔΟΥ</t>
  </si>
  <si>
    <t>ΑΙ721300</t>
  </si>
  <si>
    <t>ΔΕΝΕΛΑΒΑΣ</t>
  </si>
  <si>
    <t>ΑΕ028532</t>
  </si>
  <si>
    <t>ΜΟΥΧΤΟΥΡΗ</t>
  </si>
  <si>
    <t>ΑΝ258577</t>
  </si>
  <si>
    <t>ΧΑΤΖΗΑΘΑΝΑΣΙΟΥ</t>
  </si>
  <si>
    <t>ΑΙΜΙΛΙΟΣ</t>
  </si>
  <si>
    <t>ΑΚ452455</t>
  </si>
  <si>
    <t>ΜΟΥΡΑΤΗ</t>
  </si>
  <si>
    <t>ΑΗ144842</t>
  </si>
  <si>
    <t>ΜΑΣΤΡΟΓΙΑΝΝΗ</t>
  </si>
  <si>
    <t>ΔΡΟΣΟΥΛΑ</t>
  </si>
  <si>
    <t>ΑΙ557093</t>
  </si>
  <si>
    <t>ΜΠΑΚΑΛΗ</t>
  </si>
  <si>
    <t>ΑΕ216910</t>
  </si>
  <si>
    <t>ΣΙΔΗΡΟΠΟΥΛΟΥ</t>
  </si>
  <si>
    <t>ΕΙΡΗΝΗ</t>
  </si>
  <si>
    <t>ΑΝΑΣΤΑΣΙΟΣ</t>
  </si>
  <si>
    <t>ΑΙ745878</t>
  </si>
  <si>
    <t>ΞΕΝΟΓΙΑΝΝΑΚΗ</t>
  </si>
  <si>
    <t>ΣΤΑΥΡΟΥΛΑ</t>
  </si>
  <si>
    <t>ΙΑΚΩΒΟΣ</t>
  </si>
  <si>
    <t>Ρ532486</t>
  </si>
  <si>
    <t>ΚΟΥΚΟΥΜΒΡΗ</t>
  </si>
  <si>
    <t>ΑΛΚΙΩΝΗ</t>
  </si>
  <si>
    <t>Χ428626</t>
  </si>
  <si>
    <t>ΚΑΨΟΠΟΥΛΟΥ</t>
  </si>
  <si>
    <t>ΑΓΓΕΛΟΣ</t>
  </si>
  <si>
    <t>ΑΝ997318</t>
  </si>
  <si>
    <t>ΚΟΥΛΙΕΡΗ</t>
  </si>
  <si>
    <t>ΕΥΤΥΧΙΑ</t>
  </si>
  <si>
    <t>ΑΕ972268</t>
  </si>
  <si>
    <t>ΤΣΑΠΑΚΙΔΗ</t>
  </si>
  <si>
    <t>ΔΕΣΠΟΙΝΑ</t>
  </si>
  <si>
    <t>ΑΕ007638</t>
  </si>
  <si>
    <t>ΓΕΡΟΥΛΗ</t>
  </si>
  <si>
    <t>ΕΛΙΣΑΒΕΤ</t>
  </si>
  <si>
    <t>ΑΖ620073</t>
  </si>
  <si>
    <t>ΤΣΙΟΒΟΥΛΟΥ</t>
  </si>
  <si>
    <t>ΚΩΝΣΤΑΝΤΙΝΑ</t>
  </si>
  <si>
    <t>ΑΜ838938</t>
  </si>
  <si>
    <t>ΕΥΣΤΡΑΤΟΥΔΑΚΗ</t>
  </si>
  <si>
    <t>ΛΕΜΟΝΙΑ</t>
  </si>
  <si>
    <t>ΣΥΜΕΩΝ</t>
  </si>
  <si>
    <t>ΑΝ438975</t>
  </si>
  <si>
    <t>ΣΟΓΟΥΣΗ</t>
  </si>
  <si>
    <t>ΔΗΜΗΤΡΗΣ</t>
  </si>
  <si>
    <t>ΑΕ896272</t>
  </si>
  <si>
    <t>ΨΑΡΡΑ</t>
  </si>
  <si>
    <t>ΑΘΑΝΑΣΙΑ</t>
  </si>
  <si>
    <t>ΚΥΡΙΑΚΟΣ</t>
  </si>
  <si>
    <t>ΑΜ183210</t>
  </si>
  <si>
    <t>ΝΙΚΟΛΟΠΟΥΛΟΥ</t>
  </si>
  <si>
    <t>ΘΕΟΔΩΡΑ</t>
  </si>
  <si>
    <t>ΑΚ343679</t>
  </si>
  <si>
    <t>ΑΖ176707</t>
  </si>
  <si>
    <t>ΑΥΓΕΡΙΝΟΥ</t>
  </si>
  <si>
    <t>ΣΠΥΡΙΔΩΝ</t>
  </si>
  <si>
    <t>Τ061301</t>
  </si>
  <si>
    <t>ΔΕΣΠΟΙΝΙΔΟΥ</t>
  </si>
  <si>
    <t>ΝΙΝΑ</t>
  </si>
  <si>
    <t>ΛΑΖΑΡΟΣ</t>
  </si>
  <si>
    <t>ΑΖ911473</t>
  </si>
  <si>
    <t>ΤΡΙΑΝΤΑΦΥΛΛΑΚΗ</t>
  </si>
  <si>
    <t>ΑΕ463704</t>
  </si>
  <si>
    <t>ΣΑΓΙΑ</t>
  </si>
  <si>
    <t>Χ818782</t>
  </si>
  <si>
    <t>ΤΣΟΥΓΚΡΑΝΗ</t>
  </si>
  <si>
    <t>ΦΩΤΕΙΝΗ ΣΠΥΡΙΔΟΥ</t>
  </si>
  <si>
    <t>Χ627588</t>
  </si>
  <si>
    <t>ΦΑΛΚΟΥ</t>
  </si>
  <si>
    <t>ΔΗΜΗΤΡΑ</t>
  </si>
  <si>
    <t>ΑΖ775563</t>
  </si>
  <si>
    <t>ΤΑΣΑΚΟΥ</t>
  </si>
  <si>
    <t>ΖΑΧΑΡΕΝΙΑ</t>
  </si>
  <si>
    <t>ΑΒ749560</t>
  </si>
  <si>
    <t>ΔΗΜΗΤΡΙΟΥ</t>
  </si>
  <si>
    <t>ΑΙ017116</t>
  </si>
  <si>
    <t>ΓΚΟΤΣΗ</t>
  </si>
  <si>
    <t>ΖΑΧΑΡΩ</t>
  </si>
  <si>
    <t>ΑΕ743220</t>
  </si>
  <si>
    <t>ΧΑΛΒΑΤΖΗ</t>
  </si>
  <si>
    <t>ΦΩΤΕΙΝΗ</t>
  </si>
  <si>
    <t>ΑΕ821905</t>
  </si>
  <si>
    <t>ΡΟΥΜΕΛΙΩΤΗ</t>
  </si>
  <si>
    <t>ΣΤΑΥΡΟΣ</t>
  </si>
  <si>
    <t>ΑΚ958761</t>
  </si>
  <si>
    <t>ΠΑΝΤΑΖΟΠΟΥΛΟΥ</t>
  </si>
  <si>
    <t>ΑΟ479282</t>
  </si>
  <si>
    <t>ΜΑΚΑΒΟΥ</t>
  </si>
  <si>
    <t>ΑΖ339816</t>
  </si>
  <si>
    <t>ΠΕΤΡΙΝΩΛΗ</t>
  </si>
  <si>
    <t>ΑΝΤΩΝΙΑ</t>
  </si>
  <si>
    <t>Χ130259</t>
  </si>
  <si>
    <t>ΑΛΕΞΑΝΔΡΗ</t>
  </si>
  <si>
    <t>ΑΟ457664</t>
  </si>
  <si>
    <t>ΜΕΔΙΤΣΚΟΥ</t>
  </si>
  <si>
    <t>ΜΕΝΕΛΑΟΣ</t>
  </si>
  <si>
    <t>ΑΙ339931</t>
  </si>
  <si>
    <t>ΠΑΠΑΣΠΥΡΟΥ</t>
  </si>
  <si>
    <t>ΑΙ542117</t>
  </si>
  <si>
    <t>ΚΟΛΟΚΑ</t>
  </si>
  <si>
    <t>ΦΩΤΙΟΣ</t>
  </si>
  <si>
    <t>ΑΒ999992</t>
  </si>
  <si>
    <t>ΑΥΓΟΥΣΤΙΔΟΥ</t>
  </si>
  <si>
    <t>ΑΕ818786</t>
  </si>
  <si>
    <t>ΣΙΟΥΤΗ</t>
  </si>
  <si>
    <t>ΑΑ379707</t>
  </si>
  <si>
    <t>ΤΣΙΟΥΠΛΗ</t>
  </si>
  <si>
    <t>ΑΗ318942</t>
  </si>
  <si>
    <t>ΒΟΥΛΓΑΡΑΚΗΣ</t>
  </si>
  <si>
    <t>ΛΑΜΠΡΑΚΗΣ</t>
  </si>
  <si>
    <t>ΑΖ917012</t>
  </si>
  <si>
    <t>ΣΙΑΛΒΕΡΑ</t>
  </si>
  <si>
    <t>ΑΗ291159</t>
  </si>
  <si>
    <t>ΒΕΡΙΚΑΚΗΣ</t>
  </si>
  <si>
    <t>ΝΕΚΤΑΡΙΟΣ</t>
  </si>
  <si>
    <t>ΑΙ095071</t>
  </si>
  <si>
    <t>ΚΟΥΚΟΥΖΙΚΑ</t>
  </si>
  <si>
    <t>ΣΤΑΜΑΤΙΑ</t>
  </si>
  <si>
    <t>ΖΗΣΗΣ</t>
  </si>
  <si>
    <t>Χ281596</t>
  </si>
  <si>
    <t>Τουμπακαρη</t>
  </si>
  <si>
    <t>κωνσταντινος</t>
  </si>
  <si>
    <t>ΑΕ633791</t>
  </si>
  <si>
    <t>ΔΕΛΗΜΑΡΚΟΥ</t>
  </si>
  <si>
    <t>ΠΕΛΑΓΙΑ</t>
  </si>
  <si>
    <t>ΚΩΝΤΑΝΤΙΝΟΣ</t>
  </si>
  <si>
    <t>ΑΗ519549</t>
  </si>
  <si>
    <t>ΛΑΜΠΙΔΩΝΗ</t>
  </si>
  <si>
    <t>ΣΤΥΛΙΑΝΟΣ</t>
  </si>
  <si>
    <t>Ξ362788</t>
  </si>
  <si>
    <t>ΤΣΕΒΑ</t>
  </si>
  <si>
    <t>ΧΡΙΣΤΙΝΑ</t>
  </si>
  <si>
    <t>ΑΖ545867</t>
  </si>
  <si>
    <t>ΚΑΤΣΙΟΥΛΗ</t>
  </si>
  <si>
    <t>ΑΙ353893</t>
  </si>
  <si>
    <t>ΧΑΙΡΟΠΟΥΛΟΥ</t>
  </si>
  <si>
    <t>ΑΝ984515</t>
  </si>
  <si>
    <t>ΣΥΡΜΑΛΗ</t>
  </si>
  <si>
    <t>ΑΝΝΑ</t>
  </si>
  <si>
    <t>ΑΙ882743</t>
  </si>
  <si>
    <t>ΠΟΥΤΙΟΥ</t>
  </si>
  <si>
    <t xml:space="preserve">ΕΥΑΓΓΕΛΙΑ </t>
  </si>
  <si>
    <t>ΧΑΡΙΣΙΟΣ</t>
  </si>
  <si>
    <t>ΑΙ353031</t>
  </si>
  <si>
    <t>ΒΕΝΕΤΗ</t>
  </si>
  <si>
    <t>ΓΙΑΝΝΟΥΛΑ</t>
  </si>
  <si>
    <t>ΑΒ064519</t>
  </si>
  <si>
    <t>ΑΓΓΕΛΟΠΟΥΛΟΥ</t>
  </si>
  <si>
    <t>Π447090</t>
  </si>
  <si>
    <t>ΖΩΙΔΑΚΗ</t>
  </si>
  <si>
    <t>ΧΡΥΣΗ</t>
  </si>
  <si>
    <t>Ρ992611</t>
  </si>
  <si>
    <t>ΠΑΠΑΔΗΜΗΤΡΑΚΗ</t>
  </si>
  <si>
    <t>ΕΥΘΥΜΙΟΣ</t>
  </si>
  <si>
    <t>ΑΗ673181</t>
  </si>
  <si>
    <t>ΧΡΙΣΤΟΔΟΥΛΟΥ</t>
  </si>
  <si>
    <t>ΗΛΙΑΝΑ</t>
  </si>
  <si>
    <t>Χ696712</t>
  </si>
  <si>
    <t>ΣΑΜΙΟΥ</t>
  </si>
  <si>
    <t>ΑΖ040511</t>
  </si>
  <si>
    <t>ΚΑΣΤΡΙΤΣΗ</t>
  </si>
  <si>
    <t>Ρ711960</t>
  </si>
  <si>
    <t>ΛΑΖΑΡΟΥ</t>
  </si>
  <si>
    <t>Ρ797323</t>
  </si>
  <si>
    <t>ΚΩΝΣΤΑΝΤΗ</t>
  </si>
  <si>
    <t>ΑΡΙΣΤΕΙΔΗΣ ΣΠΥΡΙΔΩΝ</t>
  </si>
  <si>
    <t>ΑΖ254954</t>
  </si>
  <si>
    <t>ΠΑΠΑΓΕΩΡΓΙΟΥ</t>
  </si>
  <si>
    <t>ΑΝ268083</t>
  </si>
  <si>
    <t>ΛΟΥΒΑΡΗ</t>
  </si>
  <si>
    <t xml:space="preserve">ΕΛΕΥΘΕΡΙΑ </t>
  </si>
  <si>
    <t>ΑΝ232964</t>
  </si>
  <si>
    <t>ΕΥΔΩΡΙΔΟΥ</t>
  </si>
  <si>
    <t>ΑΝ406803</t>
  </si>
  <si>
    <t>ΚΑΜΠΕΡΗ</t>
  </si>
  <si>
    <t>ΘΕΟΔΩΡΟΣ</t>
  </si>
  <si>
    <t>ΑΒ549109</t>
  </si>
  <si>
    <t>ΔΙΟΝΥΣΙΑ</t>
  </si>
  <si>
    <t>ΑΜ874613</t>
  </si>
  <si>
    <t>ΜΕΡΔΗ</t>
  </si>
  <si>
    <t>ΑΒ394532</t>
  </si>
  <si>
    <t>ΦΙΝΙΔΟΥ</t>
  </si>
  <si>
    <t>ΒΕΡΟΝΙΚΗ</t>
  </si>
  <si>
    <t>ΑΒ529443</t>
  </si>
  <si>
    <t>ΝΕΣΤΟΡΑΤΟΥ</t>
  </si>
  <si>
    <t>ΑΠΟΣΤΟΛΟΣ</t>
  </si>
  <si>
    <t>Χ215235</t>
  </si>
  <si>
    <t>ΤΑΝΤΣΟΥΚΗ</t>
  </si>
  <si>
    <t>ΕΥΤΕΡΠΗ</t>
  </si>
  <si>
    <t>ΑΗ309203</t>
  </si>
  <si>
    <t>ΚΟΥΡΤΕΣΗ</t>
  </si>
  <si>
    <t>ΑΘΗΝΑ</t>
  </si>
  <si>
    <t>ΛΟΥΚΑΣ</t>
  </si>
  <si>
    <t>ΑΝ201321</t>
  </si>
  <si>
    <t>ΜΑΡΓΙΤΟΥΔΗ</t>
  </si>
  <si>
    <t>ΑΜ208580</t>
  </si>
  <si>
    <t>ΚΟΥΚΟΥΜΕΡΙΑ</t>
  </si>
  <si>
    <t>ΝΙΚΗ</t>
  </si>
  <si>
    <t>ΑΕ044017</t>
  </si>
  <si>
    <t>ΚΑΦΕΝΤΖΗ</t>
  </si>
  <si>
    <t>ΑΙ216735</t>
  </si>
  <si>
    <t>ΤΣΙΡΩΝΗ</t>
  </si>
  <si>
    <t>ΜΙΧΑΗΛ</t>
  </si>
  <si>
    <t>Ρ134605</t>
  </si>
  <si>
    <t>ΖΑΧΑΡΙΟΥΔΑΚΗ</t>
  </si>
  <si>
    <t>Ξ947711</t>
  </si>
  <si>
    <t>ΚΟΥΛΟΥΡΗ</t>
  </si>
  <si>
    <t>ΑΟ378827</t>
  </si>
  <si>
    <t>ΣΥΡΜΩ</t>
  </si>
  <si>
    <t>Χ687921</t>
  </si>
  <si>
    <t>ΚΟΥΛΙΚΑ</t>
  </si>
  <si>
    <t>ΑΒ175245</t>
  </si>
  <si>
    <t>ΜΥΛΩΝΑΚΟΥ</t>
  </si>
  <si>
    <t>Χ159201</t>
  </si>
  <si>
    <t>ΤΣΟΥΚΑ</t>
  </si>
  <si>
    <t>ΣΩΤΗΡΙΑ</t>
  </si>
  <si>
    <t>ΧΑΡΙΛΑΟΣ</t>
  </si>
  <si>
    <t>ΑΒ078774</t>
  </si>
  <si>
    <t>ΚΑΡΑΣΑΝΗΣ</t>
  </si>
  <si>
    <t>ΑΒ466544</t>
  </si>
  <si>
    <t>ΤΟΛΙΑ</t>
  </si>
  <si>
    <t>ΜΑΡΘΑ</t>
  </si>
  <si>
    <t>ΘΩΜΑΣ</t>
  </si>
  <si>
    <t>ΑΗ800259</t>
  </si>
  <si>
    <t>ΔΙΑΚΟΣΤΑΜΑΤΗ</t>
  </si>
  <si>
    <t>ΕΥΑΝΘΙΑ</t>
  </si>
  <si>
    <t>ΑΝ870007</t>
  </si>
  <si>
    <t>ΓΕΩΡΓΙΑΝΝΑ</t>
  </si>
  <si>
    <t>ΓΙΑΝΝΟΠΟΥΛΟΥ</t>
  </si>
  <si>
    <t>Χ649906</t>
  </si>
  <si>
    <t>ΚΟΣΜΙΔΟΥ</t>
  </si>
  <si>
    <t>ΜΥΡΤΩ</t>
  </si>
  <si>
    <t>Φ143976</t>
  </si>
  <si>
    <t>ΖΩΗΣ</t>
  </si>
  <si>
    <t>Φ441555</t>
  </si>
  <si>
    <t>ΛΑΖΑΡΙΔΟΥ</t>
  </si>
  <si>
    <t>ΒΑΡΒΑΡΑ</t>
  </si>
  <si>
    <t>Ρ877478</t>
  </si>
  <si>
    <t>ΓΑΒΡΙΗΛΙΔΟΥ</t>
  </si>
  <si>
    <t>ΑΙ567522</t>
  </si>
  <si>
    <t>ΠΑΓΚΑΛΗ</t>
  </si>
  <si>
    <t>ΑΖ564525</t>
  </si>
  <si>
    <t>ΛΥΡΑ</t>
  </si>
  <si>
    <t>ΑΝΕΣΤΗΣ</t>
  </si>
  <si>
    <t>ΑΖ489043</t>
  </si>
  <si>
    <t>ΔΟΝΟΥ</t>
  </si>
  <si>
    <t>ΑΒ392484</t>
  </si>
  <si>
    <t>ΜΗΤΣΟΥΛΑ</t>
  </si>
  <si>
    <t>ΠΑΝΑΓΟΥΛΑ</t>
  </si>
  <si>
    <t>ΑΗ734507</t>
  </si>
  <si>
    <t>ΤΖΑΝΗ</t>
  </si>
  <si>
    <t>ΑΖ002378</t>
  </si>
  <si>
    <t>ΦΡΕΙΧΑ</t>
  </si>
  <si>
    <t>ΘΗΡΕΣΙΑ</t>
  </si>
  <si>
    <t>Χ579065</t>
  </si>
  <si>
    <t>ΣΚΟΥΛΙΚΑ</t>
  </si>
  <si>
    <t>ΒΑΣΙΛΙΚΗ ΠΑΝΑΓΙΩΤΑ</t>
  </si>
  <si>
    <t>ΑΑ446833</t>
  </si>
  <si>
    <t>ΓΙΑΝΝΑΚΟΠΟΥΛΟΥ</t>
  </si>
  <si>
    <t>ΑΗ710062</t>
  </si>
  <si>
    <t>ΒΑΣΙΛΕΙΑΔΟΥ</t>
  </si>
  <si>
    <t>ΧΑΡΑΛΑΜΠΟΣ</t>
  </si>
  <si>
    <t>ΑΖ911832</t>
  </si>
  <si>
    <t>ΚΑΝΝΗ</t>
  </si>
  <si>
    <t>Τ062968</t>
  </si>
  <si>
    <t>ΠΙΚΙΟΥ</t>
  </si>
  <si>
    <t>ΕΛΕΝΗ ΑΝΑΣΤΑΣΙΑ</t>
  </si>
  <si>
    <t>ΑΒ403563</t>
  </si>
  <si>
    <t>ΣΜΠΙΛΙΡΗ</t>
  </si>
  <si>
    <t>ΓΡΗΓΟΡΗΣ</t>
  </si>
  <si>
    <t>ΑΕ488601</t>
  </si>
  <si>
    <t>ΚΑΡΑΓΙΑΝΝΗ</t>
  </si>
  <si>
    <t>ΣΑΡΑΝΤΙΑ</t>
  </si>
  <si>
    <t>Χ096927</t>
  </si>
  <si>
    <t>ΠΑΡΑΣΚΕΥΗ ΑΓΓΕΛΙΚΗ</t>
  </si>
  <si>
    <t>Ρ799478</t>
  </si>
  <si>
    <t>ΚΑΡΑΝΙΚΟΛΑ</t>
  </si>
  <si>
    <t>ΑΖ005812</t>
  </si>
  <si>
    <t>ΓΕΩΡΓΑΝΑ</t>
  </si>
  <si>
    <t>ΑΖ119702</t>
  </si>
  <si>
    <t>ΚΑΡΚΟΥΛΗ</t>
  </si>
  <si>
    <t>ΑΕ269563</t>
  </si>
  <si>
    <t>ΚΑΨΟΚΟΛΗ</t>
  </si>
  <si>
    <t>ΑΜ001318</t>
  </si>
  <si>
    <t>ΣΑΠΟΥΝΙΔΟΥ</t>
  </si>
  <si>
    <t>ΖΩΗ ΝΙΚΗ</t>
  </si>
  <si>
    <t>ΣΑΒΒΑΣ</t>
  </si>
  <si>
    <t>ΑΜ293075</t>
  </si>
  <si>
    <t>ΤΕΡΝΕΝΟΠΟΥΛΟΥ</t>
  </si>
  <si>
    <t>ΑΙ326659</t>
  </si>
  <si>
    <t>ΛΕΜΠΕΤΖΗ</t>
  </si>
  <si>
    <t>ΑΙ697905</t>
  </si>
  <si>
    <t>ΝΟΙΚΟΚΥΡΗ</t>
  </si>
  <si>
    <t>Ρ156848</t>
  </si>
  <si>
    <t>ΤΕΡΖΟΠΟΥΛΟΥ</t>
  </si>
  <si>
    <t>ΑΑ460964</t>
  </si>
  <si>
    <t>ΣΟΥΠΙΩΝΗ</t>
  </si>
  <si>
    <t>ΑΓΑΘΗ</t>
  </si>
  <si>
    <t>ΜΙΛΤΙΑΔΗΣ</t>
  </si>
  <si>
    <t>ΑΗ253316</t>
  </si>
  <si>
    <t>ΚΟΛΙΓΙΩΤΗ</t>
  </si>
  <si>
    <t>ΑΝ659479</t>
  </si>
  <si>
    <t>ΓΚΟΝΙΑΡΗ</t>
  </si>
  <si>
    <t>Χ989286</t>
  </si>
  <si>
    <t>ΓΙΑΝΝΑΔΑΚΗ</t>
  </si>
  <si>
    <t>ΕΜΜΑΝΟΥΗΛ</t>
  </si>
  <si>
    <t>ΑΗ958014</t>
  </si>
  <si>
    <t>ΣΠΥΡΙΔΑΚΗ</t>
  </si>
  <si>
    <t>ΜΥΡ</t>
  </si>
  <si>
    <t>ΑΗ964463</t>
  </si>
  <si>
    <t>ΖΑΧΑΡΙΑΔΗ</t>
  </si>
  <si>
    <t>ΕΛΙΣΣΑΒΕΤ</t>
  </si>
  <si>
    <t>ΑΚ070300</t>
  </si>
  <si>
    <t>ΕΛΛΗΝΙΚΑΚΗ</t>
  </si>
  <si>
    <t>Χ688062</t>
  </si>
  <si>
    <t>ΠΑΠΑΡΟΥΠΑ</t>
  </si>
  <si>
    <t>ΑΜ628003</t>
  </si>
  <si>
    <t>ΣΠΥΡΙΔΟΠΟΥΛΟΥ</t>
  </si>
  <si>
    <t>ΓΕΝΟΒΕΦΑ</t>
  </si>
  <si>
    <t>ΑΙ183855</t>
  </si>
  <si>
    <t>ΛΙΒΙΤΣΑΝΟΥ</t>
  </si>
  <si>
    <t>ΑΖ759063</t>
  </si>
  <si>
    <t>ΚΟΥΤΑΛΩΝΗ</t>
  </si>
  <si>
    <t>Φ347382</t>
  </si>
  <si>
    <t>ΠΡΑΣΣΑ</t>
  </si>
  <si>
    <t>ΕΥΣΤΑΘΙΑ</t>
  </si>
  <si>
    <t>ΑΚ637628</t>
  </si>
  <si>
    <t>ΤΣΙΡΙΓΚΑ</t>
  </si>
  <si>
    <t>Χ688083</t>
  </si>
  <si>
    <t>ΣΙΔΕΡΙΔΗΣ</t>
  </si>
  <si>
    <t>ΟΡΕΣΤΗΣ</t>
  </si>
  <si>
    <t>ΑΖ934566</t>
  </si>
  <si>
    <t>ΚΟΝΤΟΓΙΑΝΝΟΠΟΥΛΟΥ</t>
  </si>
  <si>
    <t>ΑΙ242722</t>
  </si>
  <si>
    <t>ΒΑΒΟΥΛΙΩΤΗ</t>
  </si>
  <si>
    <t>ΝΙΚΟΛΕΤΑ</t>
  </si>
  <si>
    <t>ΑΜ048675</t>
  </si>
  <si>
    <t>ΚΟΡΚΟΥ</t>
  </si>
  <si>
    <t>ΕΥΘΥΜΙΑ</t>
  </si>
  <si>
    <t>Π988285</t>
  </si>
  <si>
    <t>ΤΑΜΠΑΚΗ</t>
  </si>
  <si>
    <t>ΑΕ267678</t>
  </si>
  <si>
    <t>ΜΑΡΓΑΡΙΤΗ</t>
  </si>
  <si>
    <t>ΦΑΝΗ</t>
  </si>
  <si>
    <t>Φ317707</t>
  </si>
  <si>
    <t>ΧΡΥΣΟΧΟΙΔΟΥ</t>
  </si>
  <si>
    <t>Π700135</t>
  </si>
  <si>
    <t>ΑΛΕΞΙΟΥ</t>
  </si>
  <si>
    <t>ΝΙΚΟΛΕΤΤΑ</t>
  </si>
  <si>
    <t>ΑΙ810367</t>
  </si>
  <si>
    <t>ΔΟΜΒΡΙΔΟΥ</t>
  </si>
  <si>
    <t>ΛΑΜΠΡΙΝΗ</t>
  </si>
  <si>
    <t>ΑΜ213578</t>
  </si>
  <si>
    <t>ΤΣΟΜΠΑΝΟΠΟΥΛΟΥ</t>
  </si>
  <si>
    <t>ΠΟΛΥΞΕΝΗ</t>
  </si>
  <si>
    <t>ΑΖ802771</t>
  </si>
  <si>
    <t>ΧΑΨΙΑ</t>
  </si>
  <si>
    <t>ΕΥΣΤΡΑΤΙΟΣ</t>
  </si>
  <si>
    <t>ΑΗ935601</t>
  </si>
  <si>
    <t>Πολυκρέτη</t>
  </si>
  <si>
    <t>Σοφία</t>
  </si>
  <si>
    <t>Στέφανος</t>
  </si>
  <si>
    <t>Χ900650</t>
  </si>
  <si>
    <t>ΜΑΝΑΤΟΥ</t>
  </si>
  <si>
    <t>ΑΙ274484</t>
  </si>
  <si>
    <t>ΚΟΥΡΚΟΥΤΑ</t>
  </si>
  <si>
    <t>ΕΥΑΓΓΕΛΟ</t>
  </si>
  <si>
    <t>ΑΒ403562</t>
  </si>
  <si>
    <t>ΓΚΙΟΡΤΖΙΝΗ</t>
  </si>
  <si>
    <t>ΑΛΕΞΑΝΔΡΑ</t>
  </si>
  <si>
    <t>ΑΝ830237</t>
  </si>
  <si>
    <t>ΠΟΛΥΧΡΟΝΑΚΗ</t>
  </si>
  <si>
    <t>ΠΑΥΛΟΣ</t>
  </si>
  <si>
    <t>ΑΖ473474</t>
  </si>
  <si>
    <t>ΛΕΙΒΑΔΙΩΤΟΥ</t>
  </si>
  <si>
    <t>ΑΙ184931</t>
  </si>
  <si>
    <t>ΤΕΡΖΟΥΔΗ</t>
  </si>
  <si>
    <t>ΑΖ177236</t>
  </si>
  <si>
    <t>ΒΑΡΝΑ</t>
  </si>
  <si>
    <t>ΑΗ316059</t>
  </si>
  <si>
    <t>ΜΠΡΙΤΖΟΛΑΚΗ</t>
  </si>
  <si>
    <t>ΘΕΑΝΩ</t>
  </si>
  <si>
    <t>ΑΙ944630</t>
  </si>
  <si>
    <t>ΤΣΙΣΤΑ</t>
  </si>
  <si>
    <t>ΑΝ 247702</t>
  </si>
  <si>
    <t>ΜΠΙΡΗ</t>
  </si>
  <si>
    <t>ΑΧΙΛΛΕΥΣ</t>
  </si>
  <si>
    <t>Π678630</t>
  </si>
  <si>
    <t>ΝΤΟΥΜΠΑ</t>
  </si>
  <si>
    <t>ΒΥΡΩΝ</t>
  </si>
  <si>
    <t>ΑΕ919903</t>
  </si>
  <si>
    <t>ΚΩΝΣΤΑΝΤΙΝΙΔΟΥ</t>
  </si>
  <si>
    <t>ΑΑ388027</t>
  </si>
  <si>
    <t>ΠΙΤΣΟΘΑΝΑΣΗ</t>
  </si>
  <si>
    <t>ΑΦΕΝΤΟΥΛΑ</t>
  </si>
  <si>
    <t>ΑΜ297904</t>
  </si>
  <si>
    <t>ΚΑΝΔΥΛΗ</t>
  </si>
  <si>
    <t>Χ939294</t>
  </si>
  <si>
    <t>ΝΗΡΑ</t>
  </si>
  <si>
    <t>ΟΛΥΜΠΙΑ</t>
  </si>
  <si>
    <t>ΑΗ804196</t>
  </si>
  <si>
    <t>ΓΑΛΑΝΗ</t>
  </si>
  <si>
    <t>ΑΙ835045</t>
  </si>
  <si>
    <t>ΑΡΓΥΡΗ</t>
  </si>
  <si>
    <t>ΑΝ674846</t>
  </si>
  <si>
    <t>ΒΑΚΦΑΡΗΣ</t>
  </si>
  <si>
    <t>Φ497384</t>
  </si>
  <si>
    <t>ΜΗΤΣΙΝΙΩΤΟΥ</t>
  </si>
  <si>
    <t>ΑΚ286261</t>
  </si>
  <si>
    <t>ΝΑΣΟΠΟΥΛΟΥ</t>
  </si>
  <si>
    <t>ΑΒ046142</t>
  </si>
  <si>
    <t>ΣΙΣΚΑ</t>
  </si>
  <si>
    <t>ΑΒ588056</t>
  </si>
  <si>
    <t>Μαμωνά</t>
  </si>
  <si>
    <t>Αλεξάνδρα</t>
  </si>
  <si>
    <t>Μιχαήλ</t>
  </si>
  <si>
    <t>ΑΚ632307</t>
  </si>
  <si>
    <t>ΑΜΑΝΑΤΙΔΟΥ</t>
  </si>
  <si>
    <t>ΑΚ447289</t>
  </si>
  <si>
    <t>ΒΛΑΧΑΚΗ</t>
  </si>
  <si>
    <t>ΑΖ579705</t>
  </si>
  <si>
    <t>ΠΑΝΟΥΣΑΚΗ</t>
  </si>
  <si>
    <t>ΑΖ229659</t>
  </si>
  <si>
    <t>ΖΗΡΑ</t>
  </si>
  <si>
    <t>ΑΗ143883</t>
  </si>
  <si>
    <t>ΠΟΛΑΚΗ</t>
  </si>
  <si>
    <t>ΚΩΝΣΤΑΝΤΙΑ</t>
  </si>
  <si>
    <t>ΑΑ237449</t>
  </si>
  <si>
    <t>ΣΠΥΡΟΠΟΥΛΟΥ</t>
  </si>
  <si>
    <t>ΑΚ684084</t>
  </si>
  <si>
    <t>ΑΝΙΤΟΠΟΥΛΟΣ</t>
  </si>
  <si>
    <t>ΑΜ563482</t>
  </si>
  <si>
    <t>ΚΑΡΥΤΙΝΟΥ</t>
  </si>
  <si>
    <t>ΓΕΡΑΣΙΜΟΣ</t>
  </si>
  <si>
    <t>ΑΒ028172</t>
  </si>
  <si>
    <t>ΚΡΕΟΥΖΗ</t>
  </si>
  <si>
    <t>Τ068607</t>
  </si>
  <si>
    <t>ΚΑΡΑΓΙΩΡΓΑ</t>
  </si>
  <si>
    <t>ΧΑΡΙΚΛΕΙΑ</t>
  </si>
  <si>
    <t>ΑΝ151559</t>
  </si>
  <si>
    <t>ΠΑΡΑΣΚΕΥΗ</t>
  </si>
  <si>
    <t>ΤΡΥΦΩΝ</t>
  </si>
  <si>
    <t>ΑΕ835291</t>
  </si>
  <si>
    <t>ΜΩΡΑΙΤΗ</t>
  </si>
  <si>
    <t>ΑΚ474517</t>
  </si>
  <si>
    <t>ΚΥΡΟΓΛΟΥ</t>
  </si>
  <si>
    <t>ΜΑΛΑΜΑΤΕΝΙΑ</t>
  </si>
  <si>
    <t>ΑΚ455941</t>
  </si>
  <si>
    <t>ΔΗΜΑΚΗ</t>
  </si>
  <si>
    <t>ΑΚ735163</t>
  </si>
  <si>
    <t>ΠΑΠΑΝΙΚΟΠΟΥΛΟΥ</t>
  </si>
  <si>
    <t>ΑΧΙΛΛΕΑΣ</t>
  </si>
  <si>
    <t>Σ901210</t>
  </si>
  <si>
    <t>ΠΑΠΑΛΙΤΣΑ</t>
  </si>
  <si>
    <t>ΚΥΡΙΑΚΗ ΜΑΡΙΑ</t>
  </si>
  <si>
    <t>Χ524230</t>
  </si>
  <si>
    <t>ΣΦΥΡΙΔΗ</t>
  </si>
  <si>
    <t>ΑΖ084448</t>
  </si>
  <si>
    <t>ΑΡΤΕΜΗ-ΚΑΚΑΝΑΡΑΚΗ</t>
  </si>
  <si>
    <t>Ρ251230</t>
  </si>
  <si>
    <t>ΞΕΝΟΥ</t>
  </si>
  <si>
    <t>ΑΝΤΙΓΟΝΗ</t>
  </si>
  <si>
    <t>Σ845652</t>
  </si>
  <si>
    <t>ΚΕΛΛΑΡΗ</t>
  </si>
  <si>
    <t>ΑΗ055976</t>
  </si>
  <si>
    <t>ΒΟΥΛΓΑΡΙΔΟΥ</t>
  </si>
  <si>
    <t>ΑΖ917147</t>
  </si>
  <si>
    <t>ΑΕ234742</t>
  </si>
  <si>
    <t>ΤΥΡΕΛΗ</t>
  </si>
  <si>
    <t>ΠΕΡΙΣΤΕΡΑ</t>
  </si>
  <si>
    <t>Φ157770</t>
  </si>
  <si>
    <t>ΖΑΦΕΙΡΟΠΟΥΛΟΥ</t>
  </si>
  <si>
    <t>ΑΕ015340</t>
  </si>
  <si>
    <t>ΧΕΙΛΑ</t>
  </si>
  <si>
    <t>Χ923649</t>
  </si>
  <si>
    <t>ΑΓΟΡΑ</t>
  </si>
  <si>
    <t>ΣΥΡΑΓΟΥΛΑ</t>
  </si>
  <si>
    <t>ΑΗ281361</t>
  </si>
  <si>
    <t>ΣΟΒΑΝΤΖΗ</t>
  </si>
  <si>
    <t>ΑΡΤΕΜΙΣ</t>
  </si>
  <si>
    <t>Χ489224</t>
  </si>
  <si>
    <t>ΑΣΛΑΝΙΔΟΥ</t>
  </si>
  <si>
    <t>ΑΙ341312</t>
  </si>
  <si>
    <t>ΣΑΣΙΑΚΟΥ</t>
  </si>
  <si>
    <t>ΛΟΥΚΙΑ</t>
  </si>
  <si>
    <t>ΑΖ545667</t>
  </si>
  <si>
    <t>ΜΗΤΣΑΝΗ</t>
  </si>
  <si>
    <t>ΑΖ075216</t>
  </si>
  <si>
    <t>ΜΕΤΑΞΑ</t>
  </si>
  <si>
    <t>ΠΑΝΤΕΛΕΗΜΩΝ</t>
  </si>
  <si>
    <t>ΑΜ964944</t>
  </si>
  <si>
    <t>ΚΟΥΣΤΑ</t>
  </si>
  <si>
    <t>Τ361291</t>
  </si>
  <si>
    <t>ΤΖΟΥΑΝΟΠΟΥΛΟΥ</t>
  </si>
  <si>
    <t>Ρ045123</t>
  </si>
  <si>
    <t>ΓΚΑΡΑΚΗ</t>
  </si>
  <si>
    <t>ΑΕ875863</t>
  </si>
  <si>
    <t>ΣΤΟΓΙΑΝΝΗ</t>
  </si>
  <si>
    <t>ΟΛΓΑ</t>
  </si>
  <si>
    <t>ΑΕ817218</t>
  </si>
  <si>
    <t>ΛΕΦΑΚΗ</t>
  </si>
  <si>
    <t>ΣΟΦΙΑ</t>
  </si>
  <si>
    <t>ΛΕΩΝΙΔΑΣ</t>
  </si>
  <si>
    <t>ΑΗ279269</t>
  </si>
  <si>
    <t>ΝΙΚΗΤΑ</t>
  </si>
  <si>
    <t>ΑΚ111567</t>
  </si>
  <si>
    <t>ΜΑΡΚΟΥΤΗ</t>
  </si>
  <si>
    <t xml:space="preserve">ΙΩΑΝΝΑ </t>
  </si>
  <si>
    <t>Π904776</t>
  </si>
  <si>
    <t>ΒΕΤΣΙΚΑ</t>
  </si>
  <si>
    <t>Χ638703</t>
  </si>
  <si>
    <t>ΠΑΠΟΥΤΣΑΚΗ</t>
  </si>
  <si>
    <t>Χ356873</t>
  </si>
  <si>
    <t>ΚΑΤΣΑΜΠΑ</t>
  </si>
  <si>
    <t>ΠΑΓΩΝΙΩ</t>
  </si>
  <si>
    <t>ΑΖ937310</t>
  </si>
  <si>
    <t>ΜΑΤΣΙΚΑ</t>
  </si>
  <si>
    <t>ΑΗ470405</t>
  </si>
  <si>
    <t>ΧΑΖΑΡΗ</t>
  </si>
  <si>
    <t>ΠΑΣΧΑΛΙΩ</t>
  </si>
  <si>
    <t>ΑΕ894736</t>
  </si>
  <si>
    <t>ΝΤΙΝΟΥΔΗ</t>
  </si>
  <si>
    <t>Χ492330</t>
  </si>
  <si>
    <t>ΒΟΙΚΟΓΛΟΥ</t>
  </si>
  <si>
    <t>ΑΕ698730</t>
  </si>
  <si>
    <t>ΓΕΩΡΓΟΥΛΑΚΗ</t>
  </si>
  <si>
    <t>Σ039492</t>
  </si>
  <si>
    <t>ΘΑΝΟΥ</t>
  </si>
  <si>
    <t>Ρ252435</t>
  </si>
  <si>
    <t>ΒΛΑΣΣΗ</t>
  </si>
  <si>
    <t>ΒΑΣΙΛΗΣ</t>
  </si>
  <si>
    <t>Φ056090</t>
  </si>
  <si>
    <t>ΠΛΕΞΙΔΑ</t>
  </si>
  <si>
    <t>ΘΕΟΦΑΝΗΣ</t>
  </si>
  <si>
    <t>ΑΕ031264</t>
  </si>
  <si>
    <t>ΑΜ873028</t>
  </si>
  <si>
    <t>ΜΗΛΙΩΝΗ</t>
  </si>
  <si>
    <t>ΑΓΛΑΙΑ</t>
  </si>
  <si>
    <t>ΑΙ504468</t>
  </si>
  <si>
    <t>ΧΡΥΣΟΧΟΟΥ</t>
  </si>
  <si>
    <t>ΑΗ184125</t>
  </si>
  <si>
    <t>ΚΩΣΤΟΠΟΥΛΟΥ ΤΣΙΝΟΥ</t>
  </si>
  <si>
    <t>ΑΜ259673</t>
  </si>
  <si>
    <t>ΛΟΥΚΑ</t>
  </si>
  <si>
    <t>ΑΙΝΤΑ</t>
  </si>
  <si>
    <t>ΑΜ024302</t>
  </si>
  <si>
    <t>ΠΟΝΤΙΚΑ</t>
  </si>
  <si>
    <t>ΑΑ256265</t>
  </si>
  <si>
    <t>ΑΙ709064</t>
  </si>
  <si>
    <t>ΓΙΑΝΝΑΚΑΚΗ</t>
  </si>
  <si>
    <t>ΧΑΡΑΛΑΜΠΙΑ</t>
  </si>
  <si>
    <t>Σ517852</t>
  </si>
  <si>
    <t>ΔΕΛΦΙΝΗ</t>
  </si>
  <si>
    <t>Χ403297</t>
  </si>
  <si>
    <t>ΤΡΙΒΥΖΑ</t>
  </si>
  <si>
    <t>ΠΗΝΕΛΟΠΗ</t>
  </si>
  <si>
    <t>ΑΑ075899</t>
  </si>
  <si>
    <t>ΓΚΕΛΙΟΥ</t>
  </si>
  <si>
    <t>ΑΚ936443</t>
  </si>
  <si>
    <t>ΔΙΑΜΑΝΤΟΠΟΥΛΟΥ</t>
  </si>
  <si>
    <t>Χ289038</t>
  </si>
  <si>
    <t>ΜΑΚΡΥΓΙΑΝΝΗ</t>
  </si>
  <si>
    <t>ΑΒ764999</t>
  </si>
  <si>
    <t>ΜΠΕΚΡΗ</t>
  </si>
  <si>
    <t>ΝΙΚΟΛΙΑ</t>
  </si>
  <si>
    <t>ΑΗ643391</t>
  </si>
  <si>
    <t>ΠΟΥΛΟΥ</t>
  </si>
  <si>
    <t>Τ254475</t>
  </si>
  <si>
    <t>ΝΤΑΡΛΑΓΙΑΝΝΗ</t>
  </si>
  <si>
    <t>ΕΥΡΙΔΙΚΗ</t>
  </si>
  <si>
    <t>ΕΛΕΥΘΕΡΙΟΣ</t>
  </si>
  <si>
    <t>ΑΝ366947</t>
  </si>
  <si>
    <t>ΚΑΡΔΑΚΗ</t>
  </si>
  <si>
    <t>ΑΙ274630</t>
  </si>
  <si>
    <t>ΤΣΑΡΟΥΧΗΣ</t>
  </si>
  <si>
    <t>ΑΒ620868</t>
  </si>
  <si>
    <t>ΒΑΣΙΛΟΠΟΥΛΟΥ</t>
  </si>
  <si>
    <t>Χ407426</t>
  </si>
  <si>
    <t>ΟΙΚΟΝΟΜΙΔΟΥ</t>
  </si>
  <si>
    <t>ΑΝ562190</t>
  </si>
  <si>
    <t>ΜΠΕΡΜΠΕΡΑΚΗ</t>
  </si>
  <si>
    <t>ΑΡΓΥΡΩ</t>
  </si>
  <si>
    <t>ΑΖ149601</t>
  </si>
  <si>
    <t>ΙΩΑΝΝΙΔΟΥ</t>
  </si>
  <si>
    <t>ΦΑΙΔΩΝ</t>
  </si>
  <si>
    <t>Σ227587</t>
  </si>
  <si>
    <t>ΠΑΠΑΔΑΝΤΩΝΑΚΗ</t>
  </si>
  <si>
    <t>ΑΝ179385</t>
  </si>
  <si>
    <t>ΓΑΒΑΛΑ</t>
  </si>
  <si>
    <t>ΚΛΑΡΑ</t>
  </si>
  <si>
    <t>ΓΡΗΓΟΡΙΟΣ</t>
  </si>
  <si>
    <t>ΑΖ555158</t>
  </si>
  <si>
    <t>ΤΟΥΜΠΑ</t>
  </si>
  <si>
    <t>ΧΡΥΣΑ</t>
  </si>
  <si>
    <t>ΑΖ378076</t>
  </si>
  <si>
    <t>ΣΕΜΟΥ</t>
  </si>
  <si>
    <t>ΣΩΚΡΑΤΗΣ</t>
  </si>
  <si>
    <t>Ρ024617</t>
  </si>
  <si>
    <t>ΛΙΑΡΟΥ</t>
  </si>
  <si>
    <t>Χ292281</t>
  </si>
  <si>
    <t>ΒΑΧΑΒΙΟΛΟΥ</t>
  </si>
  <si>
    <t>ΠΑΝΑΓΙΩΤΑ ΕΙΡΗΝΗ</t>
  </si>
  <si>
    <t>ΑΚ563409</t>
  </si>
  <si>
    <t>ΣΤΟΪΚΟΤΙΔΟΥ</t>
  </si>
  <si>
    <t>ΡΑΛΛΗ</t>
  </si>
  <si>
    <t>ΣΙΔΕΡΗΣ</t>
  </si>
  <si>
    <t>ΑΖ926932</t>
  </si>
  <si>
    <t>ΛΑΛΟΥ</t>
  </si>
  <si>
    <t>ΕΙΡΗΝΗ ΠΕΤΡΟΥΛΑ</t>
  </si>
  <si>
    <t>ΑΗ483058</t>
  </si>
  <si>
    <t>ΖΕΖΟΥ</t>
  </si>
  <si>
    <t>ΑΙ380952</t>
  </si>
  <si>
    <t>ΛΥΣΑΝΔΡΟΠΟΥΛΟΥ</t>
  </si>
  <si>
    <t>ΧΡΥΣΟΒΑΛΑΝΤΟΥ</t>
  </si>
  <si>
    <t>Φ143987</t>
  </si>
  <si>
    <t>ΕΞΑΡΧΟΥ</t>
  </si>
  <si>
    <t>Σ920705</t>
  </si>
  <si>
    <t>ΔΗΜΟΠΟΥΛΟΥ</t>
  </si>
  <si>
    <t>ΑΟ410137</t>
  </si>
  <si>
    <t>ΘΕΟΦΑΝΩ</t>
  </si>
  <si>
    <t>ΑΚ981259</t>
  </si>
  <si>
    <t>ΧΡΙΣΤΟΦΟΡΟΥ</t>
  </si>
  <si>
    <t>ΑΝ624402</t>
  </si>
  <si>
    <t>ΛΟΥΡΙΔΑ</t>
  </si>
  <si>
    <t>ΑΚ364271</t>
  </si>
  <si>
    <t>ΤΣΟΠΑΝΑΚΗ</t>
  </si>
  <si>
    <t>ΑΜ 339181</t>
  </si>
  <si>
    <t>ΚΟΚΑΡΑΚΗ</t>
  </si>
  <si>
    <t>ΑΝ921511</t>
  </si>
  <si>
    <t>ΕΛΕΥΘΕΡΙΟΥ</t>
  </si>
  <si>
    <t xml:space="preserve">ΕΛΠΙΔΑ </t>
  </si>
  <si>
    <t>ΑΒ640528</t>
  </si>
  <si>
    <t>ΑΡΑΜΠΑΤΖΗ</t>
  </si>
  <si>
    <t>ΑΜ389937</t>
  </si>
  <si>
    <t>ΣΠΗΛΙΟΠΟΥΛΟΥ</t>
  </si>
  <si>
    <t>ΑΑ063841</t>
  </si>
  <si>
    <t>ΙΝΕΓΛΗ</t>
  </si>
  <si>
    <t>ΑΖ307666</t>
  </si>
  <si>
    <t>ΝΙΚΟΛΑΚΟΠΟΥΛΟΥ</t>
  </si>
  <si>
    <t>ΑΙ206168</t>
  </si>
  <si>
    <t>ΣΤΑΜΠΟΥΛΗ</t>
  </si>
  <si>
    <t>ΑΜ218372</t>
  </si>
  <si>
    <t>ΘΕΟΔΩΡΑΤΟΥ</t>
  </si>
  <si>
    <t>ΑΗ919039</t>
  </si>
  <si>
    <t>ΠΑΝΑΓΙΩΤΟΥ</t>
  </si>
  <si>
    <t>ΑΡΓΥΡΩ ΚΥΡΙΑΚΗ</t>
  </si>
  <si>
    <t>ΑΜ579450</t>
  </si>
  <si>
    <t>ΔΙΑΜΑΝΤΗ</t>
  </si>
  <si>
    <t>ΑΕ338887</t>
  </si>
  <si>
    <t>ΚΑΠΠΟΥ</t>
  </si>
  <si>
    <t>ΑΒ404713</t>
  </si>
  <si>
    <t>Φ258092</t>
  </si>
  <si>
    <t>ΜΠΑΦΡΑΛΙΔΟΥ</t>
  </si>
  <si>
    <t>ΑΙ393582</t>
  </si>
  <si>
    <t>ΝΙΚΟΛΑΙΔΟΥ</t>
  </si>
  <si>
    <t>ΚΟΣΜΑΣ</t>
  </si>
  <si>
    <t>ΑΜ155219</t>
  </si>
  <si>
    <t>ΖΩΗ</t>
  </si>
  <si>
    <t>ΗΡΑΚΛΗΣ</t>
  </si>
  <si>
    <t>ΑΙ271529</t>
  </si>
  <si>
    <t>ΜΙΧΕΛΙΟΥΔΑΚΗ</t>
  </si>
  <si>
    <t>ΑΝ937239</t>
  </si>
  <si>
    <t>ΚΟΧΙΛΑ</t>
  </si>
  <si>
    <t>ΞΕΝΗ</t>
  </si>
  <si>
    <t>ΑΜ576747</t>
  </si>
  <si>
    <t>ΠΑΣΧΑΛΗΣ</t>
  </si>
  <si>
    <t>ΑΖ344189</t>
  </si>
  <si>
    <t>Τσακα</t>
  </si>
  <si>
    <t>Κατερινα</t>
  </si>
  <si>
    <t>Θανασης</t>
  </si>
  <si>
    <t>ΑΜ127430</t>
  </si>
  <si>
    <t>ΑΥΓΟΥΣΤΑΚΗ</t>
  </si>
  <si>
    <t>Τ070918</t>
  </si>
  <si>
    <t>ΜΑΝΤΑΛΙΔΟΥ</t>
  </si>
  <si>
    <t>ΑΕ863907</t>
  </si>
  <si>
    <t>ΜΑΡΓΑΡΩΝΗ</t>
  </si>
  <si>
    <t>ΑΜ027152</t>
  </si>
  <si>
    <t>ΜΑΝΟΥΣΗ</t>
  </si>
  <si>
    <t>ΑΚ376864</t>
  </si>
  <si>
    <t>ΡΟΥΤΣΗ</t>
  </si>
  <si>
    <t>ΠΕΤΡΟ</t>
  </si>
  <si>
    <t>ΑΚ593306</t>
  </si>
  <si>
    <t>Ρ389159</t>
  </si>
  <si>
    <t>ΓΑΡΕΦΑΛΑΚΗ</t>
  </si>
  <si>
    <t xml:space="preserve">ΣΟΦΙΑ </t>
  </si>
  <si>
    <t>ΑΕ962900</t>
  </si>
  <si>
    <t>ΚΑΛΑΙΤΖΗ</t>
  </si>
  <si>
    <t>Φ062831</t>
  </si>
  <si>
    <t>ΛΑΚΚΑ</t>
  </si>
  <si>
    <t>ΑΗ308738</t>
  </si>
  <si>
    <t>ΠΟΛΥΖΟΥ</t>
  </si>
  <si>
    <t>Χ478331</t>
  </si>
  <si>
    <t>ΒΑΡΔΑΚΑ</t>
  </si>
  <si>
    <t>ΑΟ325584</t>
  </si>
  <si>
    <t>ΜΙΑΡΗ</t>
  </si>
  <si>
    <t>ΑΒ223919</t>
  </si>
  <si>
    <t>ΚΩΝΣΤΑΝΤΙΝΟΥ</t>
  </si>
  <si>
    <t>ΕΥΜΟΡΦΙΑ</t>
  </si>
  <si>
    <t>ΑΖ997437</t>
  </si>
  <si>
    <t>ΜΟΥΤΑΦΤΣΗ</t>
  </si>
  <si>
    <t>ΑΝ909020</t>
  </si>
  <si>
    <t>ΤΟΥΤΣΙΔΟΥ</t>
  </si>
  <si>
    <t>ΑΝ354273</t>
  </si>
  <si>
    <t>ΠΑΛΑΣΚΑ</t>
  </si>
  <si>
    <t>Ρ072656</t>
  </si>
  <si>
    <t>ΚΡΑΣΣΑ</t>
  </si>
  <si>
    <t>ΜΑΡΙΑ ΕΛΕΥΘΕΡΙΑ</t>
  </si>
  <si>
    <t>ΑΑ769148</t>
  </si>
  <si>
    <t>ΣΙΝΗ</t>
  </si>
  <si>
    <t>ΑΚ641994</t>
  </si>
  <si>
    <t>ΓΙΑΛΕΝΙΟΥ</t>
  </si>
  <si>
    <t>ΑΕ895435</t>
  </si>
  <si>
    <t>Χ255480</t>
  </si>
  <si>
    <t>ΠΑΠΑΕΥΣΤΑΘΙΟΥ</t>
  </si>
  <si>
    <t>ΑΖ495425</t>
  </si>
  <si>
    <t>ΣΥΡΜΑΛΗΣ</t>
  </si>
  <si>
    <t>ΘΕΟΛΟΓΟΣ</t>
  </si>
  <si>
    <t>ΑΙ390415</t>
  </si>
  <si>
    <t>ΜΑΚΡΗ</t>
  </si>
  <si>
    <t>ΤΣΑΜΠΙΚΑ</t>
  </si>
  <si>
    <t>ΑΝ956503</t>
  </si>
  <si>
    <t>ΚΑΡΚΑΤΖΟΥΝΗ</t>
  </si>
  <si>
    <t>ΑΖ020384</t>
  </si>
  <si>
    <t>ΜΠΕΛΛΟΥ</t>
  </si>
  <si>
    <t>Χ362486</t>
  </si>
  <si>
    <t>ΚΑΝΤΖΗ</t>
  </si>
  <si>
    <t>Χ067704</t>
  </si>
  <si>
    <t>ΧΑΡΑΛΑΜΠΙΔΗ</t>
  </si>
  <si>
    <t>ΑΒ621549</t>
  </si>
  <si>
    <t>ΧΑΝΤΖΑΡΙΔΟΥ</t>
  </si>
  <si>
    <t>ΚΛΗΜΗΣ</t>
  </si>
  <si>
    <t>ΑΚ891915</t>
  </si>
  <si>
    <t>ΤΖΙΝΙΕΡΗ</t>
  </si>
  <si>
    <t>ΑΕ154718</t>
  </si>
  <si>
    <t>ΔΑΣΚΑΛΑΚΗ</t>
  </si>
  <si>
    <t>ΦΙΛΙΠΠΟΣ</t>
  </si>
  <si>
    <t>ΑΑ078650</t>
  </si>
  <si>
    <t>ΕΥΑΓΓΕΛΟΥ</t>
  </si>
  <si>
    <t>ΑΗ301271</t>
  </si>
  <si>
    <t>ΠΑΠΠΑ</t>
  </si>
  <si>
    <t>ΑΖ799911</t>
  </si>
  <si>
    <t>ΔΕΜΕΡΤΖΗ</t>
  </si>
  <si>
    <t>ΑΚ286564</t>
  </si>
  <si>
    <t>ΚΟΤΣΟΡΝΙΘΗ</t>
  </si>
  <si>
    <t>ΑΡΓΥΡΩ-ΓΕΩΡΓΙΑ</t>
  </si>
  <si>
    <t>ΧΡΥΣΟΣΤΟΜΟΣ</t>
  </si>
  <si>
    <t>Χ969409</t>
  </si>
  <si>
    <t>ΕΥΑΓΕΛΙΑ</t>
  </si>
  <si>
    <t>ΑΚ161309</t>
  </si>
  <si>
    <t>ΚΑΛΗΩΡΑΚΗ</t>
  </si>
  <si>
    <t>ΕΛΠΙΔΑ</t>
  </si>
  <si>
    <t>ΑΕ464853</t>
  </si>
  <si>
    <t>ΔΕΡΒΙΔΟΥ</t>
  </si>
  <si>
    <t>ΒΑΣ</t>
  </si>
  <si>
    <t>ΑΕ408616</t>
  </si>
  <si>
    <t>ΜΠΑΣΔΑΡΑ</t>
  </si>
  <si>
    <t>ΑΚ855097</t>
  </si>
  <si>
    <t>ΚΑΚΛΑΜΑΝΑΚΗ</t>
  </si>
  <si>
    <t>ΤΑΤΙΑΝΑ</t>
  </si>
  <si>
    <t>Φ192127</t>
  </si>
  <si>
    <t>ΔΟΥΤΣΗ</t>
  </si>
  <si>
    <t>Χ230604</t>
  </si>
  <si>
    <t>ΝΙΚΟΛΕΤΤΟΥ</t>
  </si>
  <si>
    <t>ΑΚ572966</t>
  </si>
  <si>
    <t>ΠΑΡΛΙΑΡΟΥ</t>
  </si>
  <si>
    <t>ΑΙ032769</t>
  </si>
  <si>
    <t>ΧΡΙΣΤΟΔΟΥΛΟΠΟΥΛΟΥ</t>
  </si>
  <si>
    <t>ΚΩΝΣΤΑΝΤ</t>
  </si>
  <si>
    <t>ΑΒ073032</t>
  </si>
  <si>
    <t>ΚΟΥΤΣΟΚΩΣΤΑ</t>
  </si>
  <si>
    <t>Π438200</t>
  </si>
  <si>
    <t>ΠΑΤΣΙΑΝΤΟΥ</t>
  </si>
  <si>
    <t>ΑΙ915523</t>
  </si>
  <si>
    <t>ΓΕΩΡΓΙΟΥ</t>
  </si>
  <si>
    <t>ΑΡΣΕΝΙΟΣ</t>
  </si>
  <si>
    <t>ΑΙ260026</t>
  </si>
  <si>
    <t>ΑΙ592184</t>
  </si>
  <si>
    <t>ΒΑΜΒΑΚΙΔΟΥ</t>
  </si>
  <si>
    <t>ΖΑΦΕΙΡΙΑ</t>
  </si>
  <si>
    <t>ΑΙ665159</t>
  </si>
  <si>
    <t>ΓΕΩΡΓΙΑΔΗΣ</t>
  </si>
  <si>
    <t>Χ954449</t>
  </si>
  <si>
    <t>ΚΑΛΑΦΑΤΗ</t>
  </si>
  <si>
    <t>Σ372977</t>
  </si>
  <si>
    <t>ΓΕΩΡΓΟΠΟΥΛΟΥ</t>
  </si>
  <si>
    <t>ΣΠΥΡΟΣ</t>
  </si>
  <si>
    <t>ΑΕ639613</t>
  </si>
  <si>
    <t>ΚΟΜΣΙΟΥ</t>
  </si>
  <si>
    <t>ΑΖ896974</t>
  </si>
  <si>
    <t>ΖΑΛΟΚΩΣΤΑ</t>
  </si>
  <si>
    <t>ΑΝ526164</t>
  </si>
  <si>
    <t>ΤΣΙΚΑ</t>
  </si>
  <si>
    <t>ΑΕ331241</t>
  </si>
  <si>
    <t>ΟΙΚΟΝΟΜΟΠΟΥΛΟΥ</t>
  </si>
  <si>
    <t>ΑΕ270200</t>
  </si>
  <si>
    <t>ΜΠΟΡΑ</t>
  </si>
  <si>
    <t>ΣΕΒΑΣΤΗ</t>
  </si>
  <si>
    <t>ΑΝ647237</t>
  </si>
  <si>
    <t>ΤΕΤΡΙΜΙΔΑ</t>
  </si>
  <si>
    <t>Χ977515</t>
  </si>
  <si>
    <t>ΜΠΕΝΕΖΕ</t>
  </si>
  <si>
    <t>Σ641652</t>
  </si>
  <si>
    <t>Αραχωβίτη</t>
  </si>
  <si>
    <t>Μαρία</t>
  </si>
  <si>
    <t>Νικόλαος</t>
  </si>
  <si>
    <t>Χ791625</t>
  </si>
  <si>
    <t>ΛΙΑΚΟΥ</t>
  </si>
  <si>
    <t>ΠΕΤΡΟΥΛΑ</t>
  </si>
  <si>
    <t>Φ313492</t>
  </si>
  <si>
    <t>ΜΙΧΕΛΑΚΗ</t>
  </si>
  <si>
    <t>ΑΗ465946</t>
  </si>
  <si>
    <t>ΠΑΠΑΜΙΧΑΛΑΚΗ</t>
  </si>
  <si>
    <t>Χ823831</t>
  </si>
  <si>
    <t>ΤΖΟΥΒΕΛΕΚΗ</t>
  </si>
  <si>
    <t>Χ992451</t>
  </si>
  <si>
    <t>ΑΝΑΣΤΑΣΟΠΟΥΛΟΥ</t>
  </si>
  <si>
    <t>ΕΥΓΕΝΙΑ</t>
  </si>
  <si>
    <t>ΑΚ230162</t>
  </si>
  <si>
    <t>ΚΑΚΑΡΕΛΗ</t>
  </si>
  <si>
    <t>ΑΗ369701</t>
  </si>
  <si>
    <t>ΛΑΝΑΡΑ</t>
  </si>
  <si>
    <t xml:space="preserve">ΒΑΣΙΛΙΚΗ </t>
  </si>
  <si>
    <t>Χ734451</t>
  </si>
  <si>
    <t>ΑΓΙΟΡΓΙΩΤΑΚΗ</t>
  </si>
  <si>
    <t>ΑΑ371776</t>
  </si>
  <si>
    <t>ΗΛΙΑΔΟΥ</t>
  </si>
  <si>
    <t>ΧΡΗΣΤΙΝΑ</t>
  </si>
  <si>
    <t>Π789771</t>
  </si>
  <si>
    <t>ΤΣΟΤΟΥΛΙΔΟΥ</t>
  </si>
  <si>
    <t>ΑΣΠΑΣΙΑ</t>
  </si>
  <si>
    <t>ΒΛΑΔΙΜΗΡΟΣ</t>
  </si>
  <si>
    <t>ΑΖ853538</t>
  </si>
  <si>
    <t>ΚΑΡΛΑΥΤΗ</t>
  </si>
  <si>
    <t>ΠΟΛΥΤΙΜΗ</t>
  </si>
  <si>
    <t>ΑΕ635836</t>
  </si>
  <si>
    <t>ΚΑΤΖΟΥ</t>
  </si>
  <si>
    <t>ΝΙΚΟΛΙΤΣΑ</t>
  </si>
  <si>
    <t>ΠΑΝΟΣ</t>
  </si>
  <si>
    <t>Σ398541</t>
  </si>
  <si>
    <t>ΚΑΤΡΑΝΙΔΟΥ</t>
  </si>
  <si>
    <t>ΑΝΤΩΝΙΑ ΣΟΥΛΤΑΝΑ</t>
  </si>
  <si>
    <t>Χ820495</t>
  </si>
  <si>
    <t>ΚΩΣΤΑΚΟΥ</t>
  </si>
  <si>
    <t>ΑΖ248961</t>
  </si>
  <si>
    <t>ΓΚΟΥΦΑ</t>
  </si>
  <si>
    <t>Χ212712</t>
  </si>
  <si>
    <t>ΜΠΡΙΝΙΑ</t>
  </si>
  <si>
    <t>ΑΕ005501</t>
  </si>
  <si>
    <t>Κορδελλίδου</t>
  </si>
  <si>
    <t>Δέσποινα</t>
  </si>
  <si>
    <t>Θεόφιλος</t>
  </si>
  <si>
    <t>ΑΜ285682</t>
  </si>
  <si>
    <t>ΓΙΟΥΡΟΥ</t>
  </si>
  <si>
    <t>ΑΝ898909</t>
  </si>
  <si>
    <t>ΑΛΕΒΙΖΟΥ</t>
  </si>
  <si>
    <t>ΑΙ393642</t>
  </si>
  <si>
    <t>ΕΥΣΤΑΘΙΟΥ</t>
  </si>
  <si>
    <t>ΜΑΡΙΟΣ</t>
  </si>
  <si>
    <t>ΝΕΑΡΧΟΣ</t>
  </si>
  <si>
    <t>ΚΡΗΤΙΚΟΥ</t>
  </si>
  <si>
    <t>ΑΝ115844</t>
  </si>
  <si>
    <t>ΑΒΕΡΚΟΥ</t>
  </si>
  <si>
    <t>Τ012162</t>
  </si>
  <si>
    <t>ΘΕΟΧΑΡΗ</t>
  </si>
  <si>
    <t>ΟΥΡΑΝΙΑ</t>
  </si>
  <si>
    <t>ΑΣΤΕΡΙΟΣ</t>
  </si>
  <si>
    <t>Φ320683</t>
  </si>
  <si>
    <t>ΧΟΥΣΙΑΝΙΤΗ</t>
  </si>
  <si>
    <t>ΑΖ521265</t>
  </si>
  <si>
    <t>ΦΡΑΝΤΖΕΣΚΟΥ</t>
  </si>
  <si>
    <t>ΚΡΥΣΤΑΛΛΩ</t>
  </si>
  <si>
    <t>ΑΜ460224</t>
  </si>
  <si>
    <t>ΖΑΦΕΙΡΗ</t>
  </si>
  <si>
    <t>ΑΒ172627</t>
  </si>
  <si>
    <t>ΑΚ474037</t>
  </si>
  <si>
    <t>ΜΠΑΤΖΑΚΗ</t>
  </si>
  <si>
    <t>ΕΛΕΟΝΟΡΑ</t>
  </si>
  <si>
    <t>ΑΚ748854</t>
  </si>
  <si>
    <t>ΚΑΡΑΒΑ</t>
  </si>
  <si>
    <t>ΝΕΚΤΑΡΙΑ</t>
  </si>
  <si>
    <t>ΑΜ387117</t>
  </si>
  <si>
    <t>ΚΩΝΣΤΑΝΤΙΛΑΚΗ</t>
  </si>
  <si>
    <t>ΓΙΑΣΕΜΗ</t>
  </si>
  <si>
    <t>ΑΙ408187</t>
  </si>
  <si>
    <t>ΜΑΣΤΟΡΑΚΑΚΗ</t>
  </si>
  <si>
    <t>Χ189833</t>
  </si>
  <si>
    <t>ΠΛΕΥΡΑΚΗ</t>
  </si>
  <si>
    <t>ΙΦΙΓΕΝΕΙΑ</t>
  </si>
  <si>
    <t>ΑΑ464939</t>
  </si>
  <si>
    <t>ΚΑΜΠΑΝΗ</t>
  </si>
  <si>
    <t>ΑΗ350192</t>
  </si>
  <si>
    <t>ΧΑΡΑΛΑΜΠΙΔΟΥ</t>
  </si>
  <si>
    <t>ΑΡΕΤΗ</t>
  </si>
  <si>
    <t>ΑΜ672965</t>
  </si>
  <si>
    <t>ΑΗ235982</t>
  </si>
  <si>
    <t>ΑΒ380048</t>
  </si>
  <si>
    <t>ΝΤΑΛΑΓΙΑΝΝΗ</t>
  </si>
  <si>
    <t>Ξ872703</t>
  </si>
  <si>
    <t>ΔΗΜΟΛΙΟΥ</t>
  </si>
  <si>
    <t>ΑΖ304598</t>
  </si>
  <si>
    <t>ΧΟΥΝΤΑΛΑ</t>
  </si>
  <si>
    <t>ΑΙ798104</t>
  </si>
  <si>
    <t>ΤΣΑΤΣΑΡΟΥΝΟΥ</t>
  </si>
  <si>
    <t>ΠΟΥΛΙΚΟΣ</t>
  </si>
  <si>
    <t>Σ601499</t>
  </si>
  <si>
    <t>ΜΑΚΑΡΗ</t>
  </si>
  <si>
    <t>Τ384041</t>
  </si>
  <si>
    <t>ΚΟΥΛΑΚΗΣ</t>
  </si>
  <si>
    <t>ΑΒ304970</t>
  </si>
  <si>
    <t>ΚΟΝΤΟΥ</t>
  </si>
  <si>
    <t>ΑΙ353824</t>
  </si>
  <si>
    <t>Γραββανη</t>
  </si>
  <si>
    <t>Δημητρουλα</t>
  </si>
  <si>
    <t>Αντωνιος</t>
  </si>
  <si>
    <t>ΑΜ610972</t>
  </si>
  <si>
    <t>ΤΑΚΟΥΤΗ</t>
  </si>
  <si>
    <t>Ξ849143</t>
  </si>
  <si>
    <t>ΚΑΣΣΙΜΗ</t>
  </si>
  <si>
    <t>ΘΡΑΣΥΒΟΥΛΟΣ</t>
  </si>
  <si>
    <t>ΑΚ387777</t>
  </si>
  <si>
    <t>ΖΑΡΑΚΕΛΗ</t>
  </si>
  <si>
    <t>Χ843948</t>
  </si>
  <si>
    <t>ΤΑΤΙΓΙΑΝΝΗ</t>
  </si>
  <si>
    <t>Τ373372</t>
  </si>
  <si>
    <t>ΔΕΛΗΜΙΧΑΛΗ</t>
  </si>
  <si>
    <t>ΒΑΣΙΑ</t>
  </si>
  <si>
    <t>Τ552418</t>
  </si>
  <si>
    <t>ΓΡΑΜΜΕΝΟΣ</t>
  </si>
  <si>
    <t>Π246482</t>
  </si>
  <si>
    <t>ΣΕΡΑΦΕΙΜ</t>
  </si>
  <si>
    <t>ΑΑ335685</t>
  </si>
  <si>
    <t>ΤΗΛΙΟΠΟΥΛΟΥ</t>
  </si>
  <si>
    <t>ΑΜ383710</t>
  </si>
  <si>
    <t>ΠΟΥΤΟΥΚΗ</t>
  </si>
  <si>
    <t>ΑΑ411372</t>
  </si>
  <si>
    <t>ΤΣΑΚΑΛΙΔΟΥ</t>
  </si>
  <si>
    <t>Χ818984</t>
  </si>
  <si>
    <t>ΚΑΡΑΛΑΝΙΔΟΥ</t>
  </si>
  <si>
    <t>ΜΑΚΡΙΝΑ</t>
  </si>
  <si>
    <t>Χ438829</t>
  </si>
  <si>
    <t>ΑΝ268739</t>
  </si>
  <si>
    <t>ΑΑ496276</t>
  </si>
  <si>
    <t>ΜΕΛΙΣΣΑΡΗ</t>
  </si>
  <si>
    <t>ΑΚ549657</t>
  </si>
  <si>
    <t>ΤΣΙΑΚΟΥΜΑΚΗ</t>
  </si>
  <si>
    <t>ΑΙ246218</t>
  </si>
  <si>
    <t>ΤΣΙΛΙΚΑ</t>
  </si>
  <si>
    <t>Ρ232651</t>
  </si>
  <si>
    <t>ΒΟΥΤΣΙΝΑ</t>
  </si>
  <si>
    <t>ΓΕΩΡΓΙΑ ΕΛΕΝΗ</t>
  </si>
  <si>
    <t>Φ150748</t>
  </si>
  <si>
    <t>ΚΟΥΚΟΥΓΕΩΡΓΟΥ</t>
  </si>
  <si>
    <t>ΓΕΡΑΚΙΝΑ</t>
  </si>
  <si>
    <t>Ρ906164</t>
  </si>
  <si>
    <t>ΣΦΑΚΙΑΝΑΚΗ</t>
  </si>
  <si>
    <t>ΑΗ961537</t>
  </si>
  <si>
    <t>ΔΕΡΔΕΛΑΚΟΥ</t>
  </si>
  <si>
    <t>Χ576853</t>
  </si>
  <si>
    <t>ΤΖΙΑΛΟΠΟΥΛΟΥ</t>
  </si>
  <si>
    <t>Χ182404</t>
  </si>
  <si>
    <t>ΒΑIA</t>
  </si>
  <si>
    <t>Ρ875266</t>
  </si>
  <si>
    <t>ΑΖΑΠΗ</t>
  </si>
  <si>
    <t>ΑΖ935105</t>
  </si>
  <si>
    <t>ΚΟΛΗΠΕΤΡΗ</t>
  </si>
  <si>
    <t>ΟΝΟΥΦΡΙΟΣ</t>
  </si>
  <si>
    <t>ΑΒ448020</t>
  </si>
  <si>
    <t>ΖΗΛΙΔΟΥ</t>
  </si>
  <si>
    <t>ΑΙ347570</t>
  </si>
  <si>
    <t>ΤΣΙΡΙΓΩΤΗ</t>
  </si>
  <si>
    <t>ΜΑΡΙΑ ΑΓΓΕΛΙΚΗ</t>
  </si>
  <si>
    <t>ΑΕ984148</t>
  </si>
  <si>
    <t>ΧΑΡΜΠΟΥΡΟΥ</t>
  </si>
  <si>
    <t>ΑΚ543060</t>
  </si>
  <si>
    <t>ΣΙΑΛΔΑ</t>
  </si>
  <si>
    <t>ΓΑΡΥΦΑΛΛΙΑ</t>
  </si>
  <si>
    <t>ΑΚ301486</t>
  </si>
  <si>
    <t>ΧΑΤΖΗΔΑΚΗ</t>
  </si>
  <si>
    <t>ΣΤΑΜΑΤΙΟΣ</t>
  </si>
  <si>
    <t>ΑΕ975491</t>
  </si>
  <si>
    <t xml:space="preserve">ΦΡΑΓΚΙΑΔΑΚΗ </t>
  </si>
  <si>
    <t>ΑΜ959762</t>
  </si>
  <si>
    <t>ΑΝ679728</t>
  </si>
  <si>
    <t>ΚΟΥΡΗ</t>
  </si>
  <si>
    <t>ΕΥΓΕΝΙΟΣ</t>
  </si>
  <si>
    <t>ΑΖ837614</t>
  </si>
  <si>
    <t>ΚΕΡΛΟΒΑ</t>
  </si>
  <si>
    <t>Χ890668</t>
  </si>
  <si>
    <t>ΑΝΔΡΙΑΝΗ</t>
  </si>
  <si>
    <t>Φ021629</t>
  </si>
  <si>
    <t>ΚΑΡΑΜΠΙΝΗ</t>
  </si>
  <si>
    <t>ΑΔΑΜΑΝΤΙΑ</t>
  </si>
  <si>
    <t>ΑΖ779507</t>
  </si>
  <si>
    <t>ΝΤΑΦΟΥ</t>
  </si>
  <si>
    <t>ΑΙ534878</t>
  </si>
  <si>
    <t>ΖΑΜΠΟΥΡΛΗ</t>
  </si>
  <si>
    <t>ΔΗΜΟΣ</t>
  </si>
  <si>
    <t>Ρ847188</t>
  </si>
  <si>
    <t>ΑΡΑΧΩΒΙΤΗ</t>
  </si>
  <si>
    <t>ΑΜ108659</t>
  </si>
  <si>
    <t>ΜΙΓΚΟΥ</t>
  </si>
  <si>
    <t>ΠΟΛΥΝΙΚΗΣ</t>
  </si>
  <si>
    <t>Σ818787</t>
  </si>
  <si>
    <t>ΣΧΙΣΤΟΧΕΙΛΗ</t>
  </si>
  <si>
    <t>Φ135743</t>
  </si>
  <si>
    <t>ΤΣΑΡΟΥΧΑΣ</t>
  </si>
  <si>
    <t>ΝΕΚΤΑΡΙΟΣ-ΘΕΟΧΑΡΗΣ</t>
  </si>
  <si>
    <t>ΑΝ669077</t>
  </si>
  <si>
    <t>ΑΠΟΣΤΟΛΙΔΟΥ</t>
  </si>
  <si>
    <t>ΑΕ901861</t>
  </si>
  <si>
    <t>ΚΑΡΑΛΚΑ</t>
  </si>
  <si>
    <t>ΕΛΕΝΗ ΣΟΦΙΑ</t>
  </si>
  <si>
    <t>ΑΑ474129</t>
  </si>
  <si>
    <t>ΜΑΖΩΝΑΚΗ</t>
  </si>
  <si>
    <t>Π202361</t>
  </si>
  <si>
    <t>ΤΖΙΩΝΑ</t>
  </si>
  <si>
    <t>Φ180529</t>
  </si>
  <si>
    <t>ΓΑΛΙΑΝΟΥ</t>
  </si>
  <si>
    <t xml:space="preserve">  ΣΟΦΙΑ</t>
  </si>
  <si>
    <t>ΑΝ090400</t>
  </si>
  <si>
    <t>Ιωάννου</t>
  </si>
  <si>
    <t>ΓΕΏΡΓΙΟΣ</t>
  </si>
  <si>
    <t>ΑΗ313769</t>
  </si>
  <si>
    <t>ΚΟΥΤΣΟΥΒΕΛΗ</t>
  </si>
  <si>
    <t>ΒΛΑΣΙΟΣ</t>
  </si>
  <si>
    <t>Ρ906345</t>
  </si>
  <si>
    <t>ΧΡΟΝΗ</t>
  </si>
  <si>
    <t>ΑΑ359933</t>
  </si>
  <si>
    <t>ΜΑΡΙΝΟΥ - ΞΑΝΘΟΥ</t>
  </si>
  <si>
    <t>Σ678845</t>
  </si>
  <si>
    <t>ΖΑΡΚΑΔΑ</t>
  </si>
  <si>
    <t>ΑΙ475146</t>
  </si>
  <si>
    <t>ΤΡΕΥΛΑΚΗ</t>
  </si>
  <si>
    <t>ΑΜ460930</t>
  </si>
  <si>
    <t>ΧΡΥΣΙΚΟΥ</t>
  </si>
  <si>
    <t>Χ665447</t>
  </si>
  <si>
    <t>ΑΝΔΡΙΤΣΟΓΙΑΝΝΗ</t>
  </si>
  <si>
    <t>ΑΛΕΞΑΝΔΡΑ ΑΓΓΕΛΙΚΗ</t>
  </si>
  <si>
    <t>ΑΛΕΞΑΝΔΡΟΣ</t>
  </si>
  <si>
    <t>ΑΕ117848</t>
  </si>
  <si>
    <t>ΠΑΥΛΙΔΟΥ</t>
  </si>
  <si>
    <t>ΑΖ807685</t>
  </si>
  <si>
    <t>ΚΑΠΕΤΑΝΟΠΟΥΛΟΥ</t>
  </si>
  <si>
    <t>Π453877</t>
  </si>
  <si>
    <t>ΠΑΓΚΟΥΡΕΛΙΑ</t>
  </si>
  <si>
    <t>Ρ 891825</t>
  </si>
  <si>
    <t>ΛΙΑΚΟΠΟΥΛΟΥ</t>
  </si>
  <si>
    <t>ΑΒ217435</t>
  </si>
  <si>
    <t>ΚΑΡΚΑ</t>
  </si>
  <si>
    <t>Χ210163</t>
  </si>
  <si>
    <t>ΔΑΛΑΜΑΓΚΑ</t>
  </si>
  <si>
    <t>ΤΡΙΑΝΤΑΦΥΛΛΟΣ</t>
  </si>
  <si>
    <t>ΑΖ277336</t>
  </si>
  <si>
    <t>ΠΟΥΠΑ</t>
  </si>
  <si>
    <t>ΘΕΜΙΣΤΟΚΛΗΣ</t>
  </si>
  <si>
    <t>Σ368544</t>
  </si>
  <si>
    <t>ΤΟΠΤΣΙΚΙΩΤΗ</t>
  </si>
  <si>
    <t>ΜΑΓΔΑΛΗΝΗ</t>
  </si>
  <si>
    <t>ΑΝ775231</t>
  </si>
  <si>
    <t>ΤΑΤΣΙΔΟΥ</t>
  </si>
  <si>
    <t>ΠΑΡΘΕΝΑ</t>
  </si>
  <si>
    <t>ΑΝ120432</t>
  </si>
  <si>
    <t>ΕΥΑΓΓΕΛΑΚΗ</t>
  </si>
  <si>
    <t>ΔΑΝΑΗ</t>
  </si>
  <si>
    <t>ΑΗ815043</t>
  </si>
  <si>
    <t>ΝΙΤΗ</t>
  </si>
  <si>
    <t>ΚΕΡΑΣΙΑ</t>
  </si>
  <si>
    <t>Χ601592</t>
  </si>
  <si>
    <t>ΤΑΜΠΟΥΡΗ</t>
  </si>
  <si>
    <t>ΑΙ243025</t>
  </si>
  <si>
    <t>ΒΑΡΚΑΔΟΥ</t>
  </si>
  <si>
    <t>ΣΤΥΛΙΑΝΗ ΕΙΡΗΝΗ</t>
  </si>
  <si>
    <t>ΑΚ046611</t>
  </si>
  <si>
    <t>ΔΗΜΟΥ</t>
  </si>
  <si>
    <t>Φ213464</t>
  </si>
  <si>
    <t>ΚΑΤΩΓΑ</t>
  </si>
  <si>
    <t>ΑΒ504711</t>
  </si>
  <si>
    <t>ΠΑΠΑΘΑΝΑΣΙΟΥ</t>
  </si>
  <si>
    <t>Φ159720</t>
  </si>
  <si>
    <t>ΚΑΤΣΙΟΥΛΑ</t>
  </si>
  <si>
    <t>ΑΜ364555</t>
  </si>
  <si>
    <t>ΞΥΔΙΑ</t>
  </si>
  <si>
    <t>Τ888479</t>
  </si>
  <si>
    <t>ΠΑΠΑΡΙΔΟΥ</t>
  </si>
  <si>
    <t>Χ394986</t>
  </si>
  <si>
    <t>ΤΣΙΤΣΑ</t>
  </si>
  <si>
    <t>ΑΒ436669</t>
  </si>
  <si>
    <t>ΒΑΣΙΛΑΚΗ</t>
  </si>
  <si>
    <t>ΜΑΛΒΙΝΑ</t>
  </si>
  <si>
    <t>ΑΙ954739</t>
  </si>
  <si>
    <t>ΚΑΛΟΣΑΚΑΣ</t>
  </si>
  <si>
    <t>ΓΕΩΡΓ</t>
  </si>
  <si>
    <t>Χ213281</t>
  </si>
  <si>
    <t>ΣΚΑΡΒΕΛΗ</t>
  </si>
  <si>
    <t>ΑΙ312133</t>
  </si>
  <si>
    <t>ΚΑΡΑΝΙΚΟΛΑΟΥ</t>
  </si>
  <si>
    <t>ΑΝ336137</t>
  </si>
  <si>
    <t>ΑΒ102630</t>
  </si>
  <si>
    <t>ΠΑΠΑ</t>
  </si>
  <si>
    <t>ΑΕ817315</t>
  </si>
  <si>
    <t>ΣΙΓΑΛΑ</t>
  </si>
  <si>
    <t>Σ601784</t>
  </si>
  <si>
    <t>ΒΟΥΛΚΙΔΗ-ΚΑΤΣΙΚΑΡΕΛΗ</t>
  </si>
  <si>
    <t>ΑΚ537031</t>
  </si>
  <si>
    <t>ΓΙΩΤΗ</t>
  </si>
  <si>
    <t>ΑΕ230910</t>
  </si>
  <si>
    <t>ΦΑΡΜΑΚΙΔΟΥ</t>
  </si>
  <si>
    <t>ΝΙΚΟΛΑΟΣ ΑΛΕΞΑΝΔΡΟΣ</t>
  </si>
  <si>
    <t>Π765499</t>
  </si>
  <si>
    <t>ΝΕΟΦΥΤΙΔΟΥ</t>
  </si>
  <si>
    <t>ΡΟΔΑΜΑ</t>
  </si>
  <si>
    <t>ΑΖ293706</t>
  </si>
  <si>
    <t>ΑΜ876021</t>
  </si>
  <si>
    <t>ΖΑΜΑΝΑΚΟΥ</t>
  </si>
  <si>
    <t>ΣΤΕΡΓΙΑΝΗ</t>
  </si>
  <si>
    <t>Μ421385</t>
  </si>
  <si>
    <t>ΤΖΙΤΖΙΟΥ</t>
  </si>
  <si>
    <t>ΑΑ485716</t>
  </si>
  <si>
    <t>ΣΚΙΡΤΑ</t>
  </si>
  <si>
    <t>ΑΕ409512</t>
  </si>
  <si>
    <t>ΔΑΦΝΗ</t>
  </si>
  <si>
    <t>ΑΚ997918</t>
  </si>
  <si>
    <t>ΔΗΜΟΠΟΥΛΟΣ</t>
  </si>
  <si>
    <t>ΑΕ820335</t>
  </si>
  <si>
    <t>ΛΥΜΠΕΡΟΠΟΥΛΟΥ</t>
  </si>
  <si>
    <t>Ξ982246</t>
  </si>
  <si>
    <t>ΜΗΝΑΟΓΛΟΥ</t>
  </si>
  <si>
    <t>Χ370109</t>
  </si>
  <si>
    <t>ΜΑΛΛΙΝΗ</t>
  </si>
  <si>
    <t>ΑΖ349217</t>
  </si>
  <si>
    <t>ΤΣΙΛΙΓΚΙΡΗ</t>
  </si>
  <si>
    <t>ΑΟ009541</t>
  </si>
  <si>
    <t>ΚΑΡΙΒΑΛΗ</t>
  </si>
  <si>
    <t>ΜΑΡΙΚΑ</t>
  </si>
  <si>
    <t>ΑΒ651323</t>
  </si>
  <si>
    <t>ΣΙΣΜΑΝΙΔΟΥ</t>
  </si>
  <si>
    <t>ΚΑΤΙΝΑ</t>
  </si>
  <si>
    <t>Μ555694</t>
  </si>
  <si>
    <t>ΠΕΤΡΑΚΗ</t>
  </si>
  <si>
    <t>ΑΕ432811</t>
  </si>
  <si>
    <t>ΧΡΟΝΟΠΟΥΛΟΥ</t>
  </si>
  <si>
    <t>ΑΚ368061</t>
  </si>
  <si>
    <t>ΛΑΡΔΗ</t>
  </si>
  <si>
    <t>ΙΩΣΗΦ</t>
  </si>
  <si>
    <t>Χ420653</t>
  </si>
  <si>
    <t>ΠΑΠΑΘΑΝΑΣΗ</t>
  </si>
  <si>
    <t>ΑΖ547014</t>
  </si>
  <si>
    <t>Ποζατζιδου</t>
  </si>
  <si>
    <t>Μαγδαληνη</t>
  </si>
  <si>
    <t>Θεοδωρος</t>
  </si>
  <si>
    <t>Φ164352</t>
  </si>
  <si>
    <t>ΧΑΤΖΗΒΑΣΙΛΕΙΟΥ</t>
  </si>
  <si>
    <t>ΑΙ601689</t>
  </si>
  <si>
    <t>ΔΡΑΓΓΩΓΙΑ</t>
  </si>
  <si>
    <t>ΣΟΥΛΤΑΝΑ</t>
  </si>
  <si>
    <t>ΑΖ291424</t>
  </si>
  <si>
    <t>ΜΠΑΟΥ</t>
  </si>
  <si>
    <t>ΕΠΑΜΕΙΝΩΝΔΑΣ</t>
  </si>
  <si>
    <t>ΑΖ482086</t>
  </si>
  <si>
    <t>ΤΣΕΚΟΥΡΑ</t>
  </si>
  <si>
    <t>Χ274265</t>
  </si>
  <si>
    <t>ΑΝΔΡΕΑΔΕΛΛΗ</t>
  </si>
  <si>
    <t>ΑΚ452375</t>
  </si>
  <si>
    <t>ΑΝΔΡΕΔΑΚΗ</t>
  </si>
  <si>
    <t>ΔΗΜΟΣΘΕΝΗΣ</t>
  </si>
  <si>
    <t>ΑΗ150350</t>
  </si>
  <si>
    <t>ΚΑΜΖΕΛΑ</t>
  </si>
  <si>
    <t>Χ546397</t>
  </si>
  <si>
    <t>ΜΟΣΧΟΥΤΑ</t>
  </si>
  <si>
    <t>ΑΝΘΙΑ</t>
  </si>
  <si>
    <t>ΑΗ860054</t>
  </si>
  <si>
    <t>Χ894357</t>
  </si>
  <si>
    <t>ΤΣΙΡΙΚΑ</t>
  </si>
  <si>
    <t>Χ764104</t>
  </si>
  <si>
    <t>ΚΟΛΥΜΕΝΟΥ</t>
  </si>
  <si>
    <t>ΑΟ365674</t>
  </si>
  <si>
    <t>ΑΡΝΑΡΕΛΛΗ</t>
  </si>
  <si>
    <t>Ρ246794</t>
  </si>
  <si>
    <t>ΘΕΟΧΑΡΟΠΟΥΛΟΥ</t>
  </si>
  <si>
    <t>ΑΟ403761</t>
  </si>
  <si>
    <t>ΜΑΚΡΥΔΑΚΗ</t>
  </si>
  <si>
    <t>ΑΗ056588</t>
  </si>
  <si>
    <t>ΣΤΑΘΑ</t>
  </si>
  <si>
    <t>ΑΕ526350</t>
  </si>
  <si>
    <t>ΚΑΤΡΑΚΑΖΟΥ</t>
  </si>
  <si>
    <t>ΠΑΡΙΣ</t>
  </si>
  <si>
    <t>ΑΖ636391</t>
  </si>
  <si>
    <t>ΧΑΤΖΗΘΕΟΔΩΡΙΔΟΥ</t>
  </si>
  <si>
    <t>Ρ810685</t>
  </si>
  <si>
    <t>ΑΒ131884</t>
  </si>
  <si>
    <t>ΓΕΡΟΛΥΜΑΤΟΥ</t>
  </si>
  <si>
    <t>Ρ775317</t>
  </si>
  <si>
    <t>ΤΟΠΟΥΖΛΙΔΟΥ</t>
  </si>
  <si>
    <t>ΘΕΟΦΙΛΟΣ</t>
  </si>
  <si>
    <t>ΑΝ740386</t>
  </si>
  <si>
    <t>ΚΑΛΑΤΖΙΝΟΥ</t>
  </si>
  <si>
    <t>ΚΡΥΩΝΑΣ</t>
  </si>
  <si>
    <t>ΑΗ818197</t>
  </si>
  <si>
    <t>ΚΟΝΔΥΛΗ</t>
  </si>
  <si>
    <t>ΑΝ221118</t>
  </si>
  <si>
    <t>ΝΤΖΙΒΑΝΑΚΗ</t>
  </si>
  <si>
    <t>ΖΑΧΑΡΙΑΣ</t>
  </si>
  <si>
    <t>Φ058329</t>
  </si>
  <si>
    <t>ΚΑΤΣΑΡΗ</t>
  </si>
  <si>
    <t>ΑΦΡΟΔΙΤΗ</t>
  </si>
  <si>
    <t>ΑΑ267901</t>
  </si>
  <si>
    <t>ΚΟΝΤΟΣ</t>
  </si>
  <si>
    <t>ΑΝ415681</t>
  </si>
  <si>
    <t>ΓΟΥΛΑ</t>
  </si>
  <si>
    <t>ΑΚ964255</t>
  </si>
  <si>
    <t>ΜΠΑΞΕΒΑΝΗ</t>
  </si>
  <si>
    <t>Χ317957</t>
  </si>
  <si>
    <t>ΑΖ377609</t>
  </si>
  <si>
    <t>ΔΗΜΗΤΡΟΠΟΥΛΟΥ</t>
  </si>
  <si>
    <t>Φ481248</t>
  </si>
  <si>
    <t>ΜΕΡΙΑΝΟΥ</t>
  </si>
  <si>
    <t>Ρ861442</t>
  </si>
  <si>
    <t>ΤΑΝΑΝΑΚΗ</t>
  </si>
  <si>
    <t>Σ752565</t>
  </si>
  <si>
    <t>ΚΑΝΕΛΛΑ</t>
  </si>
  <si>
    <t>ΑΗ574386</t>
  </si>
  <si>
    <t>ΓΙΑΛΕΣΑΚΗ</t>
  </si>
  <si>
    <t>ΕΥΣΕΒΙΑ</t>
  </si>
  <si>
    <t>Σ463474</t>
  </si>
  <si>
    <t>ΓΙΟΥΡΕΛΗ</t>
  </si>
  <si>
    <t>ΑΚ524868</t>
  </si>
  <si>
    <t>ΤΣΑΒΔΑΡΗ</t>
  </si>
  <si>
    <t>Μ923663</t>
  </si>
  <si>
    <t>ΑΘΑΝΑΣΙΟΥ</t>
  </si>
  <si>
    <t>ΕΛΠΙΝΙΚΗ</t>
  </si>
  <si>
    <t>Χ718489</t>
  </si>
  <si>
    <t>ΤΕΛΑΚΗ</t>
  </si>
  <si>
    <t>ΑΕ458717</t>
  </si>
  <si>
    <t>ΚΑΠΕΤΑΝΑΚΗ</t>
  </si>
  <si>
    <t>Φ252824</t>
  </si>
  <si>
    <t>ΠΡΕΚΑ</t>
  </si>
  <si>
    <t>ΜΑΡΓΑΡΙΤΑ</t>
  </si>
  <si>
    <t>ΑΑ800094</t>
  </si>
  <si>
    <t>ΣΑΚΕΛΛΑΡΙΟΥ</t>
  </si>
  <si>
    <t>ΑΜ376184</t>
  </si>
  <si>
    <t>ΣΙΟΥΛΗ</t>
  </si>
  <si>
    <t>ΑΚ389595</t>
  </si>
  <si>
    <t>ΤΣΕΣΜΕΛΗ</t>
  </si>
  <si>
    <t>ΑΚ022784</t>
  </si>
  <si>
    <t>ΒΛΑΧΟΓΙΑΝΝΗ</t>
  </si>
  <si>
    <t>Χ784117</t>
  </si>
  <si>
    <t>ΠΑΓΟΥΛΑΤΟΥ</t>
  </si>
  <si>
    <t>Ρ784301</t>
  </si>
  <si>
    <t>ΜΠΟΥΡΑΣ</t>
  </si>
  <si>
    <t>ΑΝ418968</t>
  </si>
  <si>
    <t>ΑΘΑΝΑΣΑΚΟΠΟΥΛΟΥ</t>
  </si>
  <si>
    <t>ΑΝ359862</t>
  </si>
  <si>
    <t>ΚΟΥΡΟΥΣΗ</t>
  </si>
  <si>
    <t>ΑΖ547519</t>
  </si>
  <si>
    <t>ΛΑΜΠΡΙΝΙΔΟΥ</t>
  </si>
  <si>
    <t>ΣΤΕΛΛΑ</t>
  </si>
  <si>
    <t>Χ082059</t>
  </si>
  <si>
    <t>ΧΑΝΑ</t>
  </si>
  <si>
    <t>ΓΛΥΚΕΡΙΑ</t>
  </si>
  <si>
    <t>ΛΑΜΠΡΟΣ</t>
  </si>
  <si>
    <t>ΑΒ042271</t>
  </si>
  <si>
    <t>ΑΥΛΩΝΙΤΗ</t>
  </si>
  <si>
    <t>ΑΕ955631</t>
  </si>
  <si>
    <t>ΚΑΡΑΘΑΝΟΥ</t>
  </si>
  <si>
    <t>ΑΚ297569</t>
  </si>
  <si>
    <t>ΑΜΑΛΙΑ</t>
  </si>
  <si>
    <t>ΑΝ780601</t>
  </si>
  <si>
    <t>ΜΠΑΡΜΠΑΓΙΑΝΝΗ</t>
  </si>
  <si>
    <t>Χ869794</t>
  </si>
  <si>
    <t>ΝΕΦΕΛΗ</t>
  </si>
  <si>
    <t>ΑΜ005645</t>
  </si>
  <si>
    <t>ΤΣΕΡΓΟΥΛΑ</t>
  </si>
  <si>
    <t>Χ978078</t>
  </si>
  <si>
    <t>ΚΑΤΙΓΚΑΡΙΔΟΥ</t>
  </si>
  <si>
    <t>ΑΝ847060</t>
  </si>
  <si>
    <t>ΛΥΤΙΝΑ ΠΟΛΥΧΡΟΝΑΚΗ</t>
  </si>
  <si>
    <t>ΑΚ477292</t>
  </si>
  <si>
    <t>ΚΟΥΡΠΑΔΑΚΗ</t>
  </si>
  <si>
    <t>ΑΕ482350</t>
  </si>
  <si>
    <t>ΚΕΛΕΜΕΝΗ</t>
  </si>
  <si>
    <t>Χ316122</t>
  </si>
  <si>
    <t>ΑΓΙΑΣΜΑΤΗ</t>
  </si>
  <si>
    <t>ΜΑΡΚΕΛΛΑ</t>
  </si>
  <si>
    <t>ΜΗΝΑΣ</t>
  </si>
  <si>
    <t>ΑΖ435161</t>
  </si>
  <si>
    <t>ΠΑΠΑΧΡΙΣΤΟΠΟΥΛΟΥ</t>
  </si>
  <si>
    <t>ΑΕ233994</t>
  </si>
  <si>
    <t>ΚΟΛΑ</t>
  </si>
  <si>
    <t>ΛΑΚΗ</t>
  </si>
  <si>
    <t>ΑΜ590571</t>
  </si>
  <si>
    <t>ΝΙΚΟΛΑΟΥ</t>
  </si>
  <si>
    <t>Τ152198</t>
  </si>
  <si>
    <t>ΜΑΡΤΙΝΗ</t>
  </si>
  <si>
    <t>Ρ093892</t>
  </si>
  <si>
    <t>ΚΑΡΑΝΤΖΙΑ</t>
  </si>
  <si>
    <t>Χ679753</t>
  </si>
  <si>
    <t>ΜΙΧΑΗΛΙΔΟΥ</t>
  </si>
  <si>
    <t>Χ230540</t>
  </si>
  <si>
    <t>ΜΠΕΚΑ</t>
  </si>
  <si>
    <t>Φ143855</t>
  </si>
  <si>
    <t>ΑΣΗΜΑΚΟΠΟΥΛΟΥ</t>
  </si>
  <si>
    <t>Χ798105</t>
  </si>
  <si>
    <t>ΚΡΑΝΑ</t>
  </si>
  <si>
    <t>ΒΑΙΤΣΑ</t>
  </si>
  <si>
    <t>Ρ841525</t>
  </si>
  <si>
    <t>Τ030306</t>
  </si>
  <si>
    <t>ΜΠΑΚΑΤΣΑΚΗ</t>
  </si>
  <si>
    <t>ΑΗ472763</t>
  </si>
  <si>
    <t>ΓΚΕΣΟΠΟΥΛΟΥ</t>
  </si>
  <si>
    <t>ΑΗ302664</t>
  </si>
  <si>
    <t>ΤΕΖΑ</t>
  </si>
  <si>
    <t>ΑΕ864737</t>
  </si>
  <si>
    <t>ΣΟΛΙΔΑΚΗ</t>
  </si>
  <si>
    <t>ΑΜ612366</t>
  </si>
  <si>
    <t>ΜΑΥΡΟΓΙΑΝΝΑΚΗ</t>
  </si>
  <si>
    <t>ΕΥΘΑΛΙΑ</t>
  </si>
  <si>
    <t>ΑΝ842509</t>
  </si>
  <si>
    <t>ΔΟΤΣΙΟΥ</t>
  </si>
  <si>
    <t>Χ760086</t>
  </si>
  <si>
    <t>ΖΩΤΟΥ</t>
  </si>
  <si>
    <t>ΑΜ302502</t>
  </si>
  <si>
    <t>ΠΙΠΕΡΑ</t>
  </si>
  <si>
    <t>ΑΜ295080</t>
  </si>
  <si>
    <t>ΛΟΥΒΡΟΥ</t>
  </si>
  <si>
    <t>ΑΝΔΡΙΑΝΑ</t>
  </si>
  <si>
    <t>ΑΝ961212</t>
  </si>
  <si>
    <t>ΑΝ301842</t>
  </si>
  <si>
    <t>ΑΝΕΣΙΑΔΟΥ</t>
  </si>
  <si>
    <t>ΑΝ907742</t>
  </si>
  <si>
    <t>ΑΜΠΛΙΑΝΙΤΗ</t>
  </si>
  <si>
    <t>Τ258213</t>
  </si>
  <si>
    <t>Χ989187</t>
  </si>
  <si>
    <t>ΡΙΓΚΑ</t>
  </si>
  <si>
    <t>ΑΑ239790</t>
  </si>
  <si>
    <t>ΣΑΡΑΝΤΟΠΟΥΛΟΥ</t>
  </si>
  <si>
    <t>ΑΝ817481</t>
  </si>
  <si>
    <t>ΒΑΣΙΛΕΙΟΥ</t>
  </si>
  <si>
    <t>Τ239646</t>
  </si>
  <si>
    <t>ΤΖΙΕΡΤΖΗ</t>
  </si>
  <si>
    <t>ΑΗ915129</t>
  </si>
  <si>
    <t>ΤΙΦΙΛΙΔΟΥ</t>
  </si>
  <si>
    <t>Χ318271</t>
  </si>
  <si>
    <t>προκοπιου</t>
  </si>
  <si>
    <t>ευαγγελια-παρασκευη</t>
  </si>
  <si>
    <t>παναγιωτης</t>
  </si>
  <si>
    <t>ΑΑ010040</t>
  </si>
  <si>
    <t>ΜΠΛΑΒΑΚΗ</t>
  </si>
  <si>
    <t>ΑΕ673612</t>
  </si>
  <si>
    <t>ΑΚ436449</t>
  </si>
  <si>
    <t>ΤΣΙΟΥΤΣΙΟΥΛΑ</t>
  </si>
  <si>
    <t>ΒΑΙΑ</t>
  </si>
  <si>
    <t>ΑΗ158704</t>
  </si>
  <si>
    <t>ΔΙΝΟΠΟΥΛΟΥ</t>
  </si>
  <si>
    <t>ΑΙ325118</t>
  </si>
  <si>
    <t>ΧΑΡΑΛΑΜΠΟΠΟΥΛΟΥ</t>
  </si>
  <si>
    <t>ΔΙΟΝΥΣΙΟΣ</t>
  </si>
  <si>
    <t>Χ805535</t>
  </si>
  <si>
    <t>ΑΙ501562</t>
  </si>
  <si>
    <t>ΝΑΝΟΥ</t>
  </si>
  <si>
    <t>Χ087531</t>
  </si>
  <si>
    <t>ΑΡΒΑΝΙΤΗ</t>
  </si>
  <si>
    <t>ΑΕ120982</t>
  </si>
  <si>
    <t xml:space="preserve">ΜΠΟΥΡΟΥ </t>
  </si>
  <si>
    <t>ΑΖ751904</t>
  </si>
  <si>
    <t>ΚΑΡΡΑ</t>
  </si>
  <si>
    <t>Φ170381</t>
  </si>
  <si>
    <t>ΒΗΣΣΑΡΙΑ</t>
  </si>
  <si>
    <t>ΑΙ840226</t>
  </si>
  <si>
    <t>ΨΑΡΡΟΥ</t>
  </si>
  <si>
    <t>ΑΚ041034</t>
  </si>
  <si>
    <t>ΑΗ104355</t>
  </si>
  <si>
    <t>ΜΑΛΛΙΟΥ</t>
  </si>
  <si>
    <t>ΧΡΥΣΑΥΓΗ</t>
  </si>
  <si>
    <t>ΑΝ768582</t>
  </si>
  <si>
    <t>ΑΣΒΕΣΤΑ</t>
  </si>
  <si>
    <t>ΑΚ879152</t>
  </si>
  <si>
    <t>ΜΑΡΓΑΡΙΤΟΥ</t>
  </si>
  <si>
    <t>Ξ695395</t>
  </si>
  <si>
    <t>ΚΑΡΑΔΟΥΚΑ</t>
  </si>
  <si>
    <t>Ξ708909</t>
  </si>
  <si>
    <t>ΑΝΕΣΤΗ</t>
  </si>
  <si>
    <t>Χ989708</t>
  </si>
  <si>
    <t>ΧΡΗΜΑΤΟΠΟΥΛΟΥ</t>
  </si>
  <si>
    <t>ΑΚ426747</t>
  </si>
  <si>
    <t>ΤΣΙΜΙΤΑΚΗ</t>
  </si>
  <si>
    <t>ΕΥΦΗΜΙΑ</t>
  </si>
  <si>
    <t>ΑΗ684870</t>
  </si>
  <si>
    <t>ΛΑΙΟΥ</t>
  </si>
  <si>
    <t>ΑΙ353137</t>
  </si>
  <si>
    <t>ΔΟΒΑ</t>
  </si>
  <si>
    <t>ΑΑ382137</t>
  </si>
  <si>
    <t>ΑΑ438412</t>
  </si>
  <si>
    <t>ΚΑΛΥΒΑ</t>
  </si>
  <si>
    <t>Σ023454</t>
  </si>
  <si>
    <t>ΝΙΚΟΛΤΣΟΥΔΗ</t>
  </si>
  <si>
    <t>ΑΖ414457</t>
  </si>
  <si>
    <t>ΤΣΟΥΚΑΛΑ</t>
  </si>
  <si>
    <t>ΑΗ216574</t>
  </si>
  <si>
    <t>ΚΑΡΑΜΠΑΤΖΑΚΗ</t>
  </si>
  <si>
    <t>ΑΕ817496</t>
  </si>
  <si>
    <t>ΤΣΕΛΙΟΥ</t>
  </si>
  <si>
    <t>Χ891563</t>
  </si>
  <si>
    <t>ΙΓΝΑΤΙΟΥ</t>
  </si>
  <si>
    <t>ΤΖΕΣΙΚΑ ΚΛΑΙΡΗ ΒΙΡΤΖ</t>
  </si>
  <si>
    <t>Α00422247</t>
  </si>
  <si>
    <t>ΒΕΛΛΗ</t>
  </si>
  <si>
    <t>ΑΒ060849</t>
  </si>
  <si>
    <t>ΚΟΥΤΙΟΛΑ</t>
  </si>
  <si>
    <t>ΑΖ288290</t>
  </si>
  <si>
    <t xml:space="preserve">ΜΗΛΛΑ </t>
  </si>
  <si>
    <t xml:space="preserve">ΑΡΕΖΙΝΑ-ΣΟΦΙΑ </t>
  </si>
  <si>
    <t>ΑΕ541817</t>
  </si>
  <si>
    <t>ΠΑΤΣΙΚΑ</t>
  </si>
  <si>
    <t>ΑΗ193966</t>
  </si>
  <si>
    <t>ΚΑΟΥΡΑ</t>
  </si>
  <si>
    <t>Τ143027</t>
  </si>
  <si>
    <t>ΚΑΤΣΑΡΑ</t>
  </si>
  <si>
    <t>ΑΖ589371</t>
  </si>
  <si>
    <t>ΤΣΙΛΕΠΩΝΗ</t>
  </si>
  <si>
    <t>ΕΥΡΩΠΗ</t>
  </si>
  <si>
    <t>ΑΖ391303</t>
  </si>
  <si>
    <t>ΓΛΕΝΤΖΗΣ</t>
  </si>
  <si>
    <t>ΑΝ565035</t>
  </si>
  <si>
    <t>ΒΟΡΙΣΗ</t>
  </si>
  <si>
    <t>ΔΕΣΠΟΙΝΑ ΧΑΡΑΛΑΜΠΙΑ</t>
  </si>
  <si>
    <t>ΑΚ223985</t>
  </si>
  <si>
    <t>ΛΕΟΝΤΑΡΗ</t>
  </si>
  <si>
    <t>ΑΜ263082</t>
  </si>
  <si>
    <t>ΠΟΡΗ</t>
  </si>
  <si>
    <t>Σ650129</t>
  </si>
  <si>
    <t>ΓΕΣΘΗΜΑΝΗ</t>
  </si>
  <si>
    <t>Σ765884</t>
  </si>
  <si>
    <t>ΠΕΤΡΟΠΟΥΛΟΥ</t>
  </si>
  <si>
    <t>ΑΕ273566</t>
  </si>
  <si>
    <t>ΚΑΚΑΡΑΝΤΖΟΥΛΑ</t>
  </si>
  <si>
    <t>ΘΑΛΕΙΑ</t>
  </si>
  <si>
    <t>Χ010764</t>
  </si>
  <si>
    <t>ΒΑΓΙΩΤΑ</t>
  </si>
  <si>
    <t>ΑΙ350040</t>
  </si>
  <si>
    <t>ΑΝΤΩΝΙΟΥ</t>
  </si>
  <si>
    <t>ΜΑΛΑΜΑΤΗ</t>
  </si>
  <si>
    <t>ΑΜ674424</t>
  </si>
  <si>
    <t>ΨΩΜΑ</t>
  </si>
  <si>
    <t>ΑΚ817756</t>
  </si>
  <si>
    <t>ΖΟΥΜΠΑΝΙΩΤΗ</t>
  </si>
  <si>
    <t>Ξ872777</t>
  </si>
  <si>
    <t>ΔΗΜΗΤΡΙΑΔΗ</t>
  </si>
  <si>
    <t>ΑΣΗΜΙΝΑ</t>
  </si>
  <si>
    <t>ΑΗ707469</t>
  </si>
  <si>
    <t>ΠΕΤΡΙΔΟΥ</t>
  </si>
  <si>
    <t>ΑΖ645705</t>
  </si>
  <si>
    <t>ΜΑΚΡΟΓΙΑΝΝΗ</t>
  </si>
  <si>
    <t>Ρ489810</t>
  </si>
  <si>
    <t>ΒΙΛΛΙΑ</t>
  </si>
  <si>
    <t>ΣΤΑΜΑΤΙΝΑ</t>
  </si>
  <si>
    <t>ΑΗ532408</t>
  </si>
  <si>
    <t>ΓΚΑΝΤΖΙΟΥ</t>
  </si>
  <si>
    <t>ΑΟ037040</t>
  </si>
  <si>
    <t>ΠΑΡΙΣΣΗ</t>
  </si>
  <si>
    <t>ΑΝ485795</t>
  </si>
  <si>
    <t>ΝΤΑΓΙΑΝΤΑ</t>
  </si>
  <si>
    <t>Α Ν 429057</t>
  </si>
  <si>
    <t>ΧΡΙΣΤΟΦΟΡΙΔΟΥ</t>
  </si>
  <si>
    <t>ΑΜ690014</t>
  </si>
  <si>
    <t>ΜΑΣΤΟΡΟΓΙΑΝΝΗ</t>
  </si>
  <si>
    <t>ΑΑ429233</t>
  </si>
  <si>
    <t>ΦΡΑΝΤΖΕΣΚΑ</t>
  </si>
  <si>
    <t>ΑΝ676338</t>
  </si>
  <si>
    <t>ΚΑΤΣΑΒΡΙΑ</t>
  </si>
  <si>
    <t>Π436187</t>
  </si>
  <si>
    <t>ΜΕΡΕΝΙΔΟΥ</t>
  </si>
  <si>
    <t>ΚΛΕΑΝΘΗΣ</t>
  </si>
  <si>
    <t>ΑΙ156748</t>
  </si>
  <si>
    <t>ΒΛΑΧΟΔΗΜΟΥ</t>
  </si>
  <si>
    <t>ΑΜ850571</t>
  </si>
  <si>
    <t>ΗΛΕΚΤΡΑ</t>
  </si>
  <si>
    <t>ΚΟΝΤΟΘΑΝΑΣΗ</t>
  </si>
  <si>
    <t>ΑΜ685581</t>
  </si>
  <si>
    <t>ΚΟΡΟΠΟΥΛΗ</t>
  </si>
  <si>
    <t>ΑΗ416967</t>
  </si>
  <si>
    <t>ΝΤΟΥΚΛΑΝΙΔΗ</t>
  </si>
  <si>
    <t>ΑΕ806165</t>
  </si>
  <si>
    <t>ΑΕ423715</t>
  </si>
  <si>
    <t>ΣΑΡΗΒΑΣΙΛΗ</t>
  </si>
  <si>
    <t>ΧΡΙΣΤΙΑΝΑ</t>
  </si>
  <si>
    <t>ΑΗ851889</t>
  </si>
  <si>
    <t>ΜΠΟΥΤΛΑ</t>
  </si>
  <si>
    <t>Χ925442</t>
  </si>
  <si>
    <t>ΣΟΚΟΡΗ</t>
  </si>
  <si>
    <t>ΜΑΡΙΑ ΕΙΡΗΝΗ</t>
  </si>
  <si>
    <t>ΑΙ897318</t>
  </si>
  <si>
    <t>ΓΚΟΥΜΑ</t>
  </si>
  <si>
    <t>ΜΑΡΙΝΟΣ</t>
  </si>
  <si>
    <t>ΑΗ504135</t>
  </si>
  <si>
    <t>ΜΕΡΜΙΚΛΗ</t>
  </si>
  <si>
    <t>ΑΑ467814</t>
  </si>
  <si>
    <t>ΜΕΛΙΔΟΥ</t>
  </si>
  <si>
    <t>Χ892061</t>
  </si>
  <si>
    <t>ΜΗΛΗ</t>
  </si>
  <si>
    <t>Ν662723</t>
  </si>
  <si>
    <t>ΟΥΛΗ</t>
  </si>
  <si>
    <t>Χ581206</t>
  </si>
  <si>
    <t>ΒΑΡΝΑΒΑ</t>
  </si>
  <si>
    <t>ΑΙΚΑΤ</t>
  </si>
  <si>
    <t>Τ118270</t>
  </si>
  <si>
    <t>ΚΑΛΠΑΚΗ</t>
  </si>
  <si>
    <t>ΑΟ264202</t>
  </si>
  <si>
    <t>ΔΡΑΜΑΛΗ</t>
  </si>
  <si>
    <t>ΣΠΥΡΙΔΩΝΙΑ</t>
  </si>
  <si>
    <t>ΑΜ865137</t>
  </si>
  <si>
    <t>ΣΤΑΥΡΙΔΟΥ</t>
  </si>
  <si>
    <t>ΑΗ924892</t>
  </si>
  <si>
    <t>ΚΑΛΥΒΙΑΝΑΚΗ</t>
  </si>
  <si>
    <t>ΑΑ374497</t>
  </si>
  <si>
    <t>ΒΑΤΖΑΝΟ</t>
  </si>
  <si>
    <t>ΚΑΡΜΕΛΑ</t>
  </si>
  <si>
    <t>ΠΙΕΤΡΟ</t>
  </si>
  <si>
    <t>Χ972153</t>
  </si>
  <si>
    <t xml:space="preserve">ΤΣΕΡΟΥ </t>
  </si>
  <si>
    <t xml:space="preserve">ΧΡΗΣΤΟΣ </t>
  </si>
  <si>
    <t>Χ416173</t>
  </si>
  <si>
    <t>ΜΩΡΟΥ</t>
  </si>
  <si>
    <t>ΑΚ372665</t>
  </si>
  <si>
    <t>ΑΚ851012</t>
  </si>
  <si>
    <t>ΑΗ574819</t>
  </si>
  <si>
    <t>ΠΑΠΑΟΙΚΟΝΟΜΟΥ</t>
  </si>
  <si>
    <t>ΞΑΝΘΙΠΠΗ</t>
  </si>
  <si>
    <t>Χ700899</t>
  </si>
  <si>
    <t>ΑΕ998145</t>
  </si>
  <si>
    <t>ΚΑΡΑΤΖΙΟΥ</t>
  </si>
  <si>
    <t>ΟΔΥΣΣΕΥΣ</t>
  </si>
  <si>
    <t>ΑΕ089055</t>
  </si>
  <si>
    <t>ΑΘΑΝΑΣΙΑΔΟΥ</t>
  </si>
  <si>
    <t>ΠΑΥΛΙΝΑ</t>
  </si>
  <si>
    <t>ΑΙ725258</t>
  </si>
  <si>
    <t>ΤΖΩΡΤΖΑΤΟΥ</t>
  </si>
  <si>
    <t>ΠΟΛΥΒΙΟΣ</t>
  </si>
  <si>
    <t>ΑΙ241932</t>
  </si>
  <si>
    <t>ΔΕΛΑΒΕΡΙΔΟΥ</t>
  </si>
  <si>
    <t>ΑΜ850647</t>
  </si>
  <si>
    <t>ΑΚ114164</t>
  </si>
  <si>
    <t>ΜΠΙΤΖΕΛΕΚΗ</t>
  </si>
  <si>
    <t>ΑΒ814102</t>
  </si>
  <si>
    <t>ΚΑΜΠΟΥΡΑΚΗ</t>
  </si>
  <si>
    <t>ΚΛΕΑΝΘΗ</t>
  </si>
  <si>
    <t>ΑΙ451179</t>
  </si>
  <si>
    <t>ΖΕΡΙΚΙΩΤΟΥ</t>
  </si>
  <si>
    <t>ΑΖ073436</t>
  </si>
  <si>
    <t>ΙΑΚΩΒΑΚΗ</t>
  </si>
  <si>
    <t>Σ979173</t>
  </si>
  <si>
    <t>ΤΣΑΚΩΝΑ</t>
  </si>
  <si>
    <t>ΑΙ794669</t>
  </si>
  <si>
    <t>ΚΑΤΣΑΦΑΔΟΥ</t>
  </si>
  <si>
    <t>ΑΒ647590</t>
  </si>
  <si>
    <t>ΚΟΥΚΟΥΛΙΔΟΥ</t>
  </si>
  <si>
    <t>ΕΥΔΟΚΙΑ</t>
  </si>
  <si>
    <t>Π302848</t>
  </si>
  <si>
    <t>ΤΣΙΛΙΚΟΥ</t>
  </si>
  <si>
    <t>ΑΜ773252</t>
  </si>
  <si>
    <t>ΧΡΙΣΤΟΠΟΥΛΟΥ</t>
  </si>
  <si>
    <t>ΑΚ070779</t>
  </si>
  <si>
    <t>Σ888367</t>
  </si>
  <si>
    <t>ΓΚΕΝΤΖΟΓΛΑΝΗΣ</t>
  </si>
  <si>
    <t>ΑΒ482992</t>
  </si>
  <si>
    <t>ΣΦΑΚΙΩΤΑΚΗ</t>
  </si>
  <si>
    <t>ΦΙΛΙΑ</t>
  </si>
  <si>
    <t>Τ487030</t>
  </si>
  <si>
    <t>ΔΗΜΑΚΟΠΟΥΛΟΥ</t>
  </si>
  <si>
    <t>Σ371160</t>
  </si>
  <si>
    <t>ΜΠΑΛΑΝΙΚΑ</t>
  </si>
  <si>
    <t>ΑΑ396177</t>
  </si>
  <si>
    <t>ΑΓΓΕΛΙΔΟΥ</t>
  </si>
  <si>
    <t>ΑΗ810865</t>
  </si>
  <si>
    <t>ΚΑΤΣΟΥΛΗ</t>
  </si>
  <si>
    <t>ΜΑΡΙΝΑ ΝΕΚΤΑΡΙΑ</t>
  </si>
  <si>
    <t>ΑΖ572802</t>
  </si>
  <si>
    <t>ΑΡΧΟΝΤΗ</t>
  </si>
  <si>
    <t>Χ726684</t>
  </si>
  <si>
    <t>ΦΟΥΚΑ</t>
  </si>
  <si>
    <t>ΡΕΒΕΚΑ</t>
  </si>
  <si>
    <t>ΑΒ199758</t>
  </si>
  <si>
    <t>ΜΑΡΙΝΟΠΟΥΛΟΥ</t>
  </si>
  <si>
    <t>Χ283961</t>
  </si>
  <si>
    <t>ΠΟΛΥΚΑΡΠΟΣ</t>
  </si>
  <si>
    <t>ΑΚ949478</t>
  </si>
  <si>
    <t>ΠΑΛΑΜΙΔΑ</t>
  </si>
  <si>
    <t>ΑΝ203811</t>
  </si>
  <si>
    <t>ΖΗΣΑΚΗ</t>
  </si>
  <si>
    <t>ΣΜΑΡΑΓΔΑ</t>
  </si>
  <si>
    <t>ΑΝ084054</t>
  </si>
  <si>
    <t>ΑΡΑΠΑΣΗ</t>
  </si>
  <si>
    <t>ΕΝΤΕΛΑ</t>
  </si>
  <si>
    <t>ΣΤΑΥΡΟ</t>
  </si>
  <si>
    <t>ΑΗ133549</t>
  </si>
  <si>
    <t>ΤΖΩΡΤΖΙΝΗ</t>
  </si>
  <si>
    <t>Σ355725</t>
  </si>
  <si>
    <t>ΣΑΛΤΕΡΗ</t>
  </si>
  <si>
    <t>ΑΕ154510</t>
  </si>
  <si>
    <t>ΘΕΟΧΑΡΙΔΟΥ</t>
  </si>
  <si>
    <t>ΘΕΟΧΑΡΗΣ</t>
  </si>
  <si>
    <t>Χ278102</t>
  </si>
  <si>
    <t>ΚΥΡΙΖΑΚΗ</t>
  </si>
  <si>
    <t>ΣΤΕΦΑΝΙΑ</t>
  </si>
  <si>
    <t>ΑΖ914935</t>
  </si>
  <si>
    <t>ΑΖ391301</t>
  </si>
  <si>
    <t>ΜΩΥΣΗ</t>
  </si>
  <si>
    <t>ΖΩΗ-ΣΩΤΗΡΙΑ</t>
  </si>
  <si>
    <t>ΒΕΝΙΑΜΙΝ-ΕΥΣΤΑΘΙΟΣ</t>
  </si>
  <si>
    <t>Χ249930</t>
  </si>
  <si>
    <t>ΛΑΜΠΡΟΥΣΗ</t>
  </si>
  <si>
    <t>ΑΖ014841</t>
  </si>
  <si>
    <t>ΚΙΟΥΡΤΣΙΔΗ</t>
  </si>
  <si>
    <t>ΑΗ778667</t>
  </si>
  <si>
    <t>ΤΣΕΡΙΩΝΗ</t>
  </si>
  <si>
    <t>ΑΓΗΣΙΛΑΟΣ</t>
  </si>
  <si>
    <t>Ρ814801</t>
  </si>
  <si>
    <t>ΚΥΡΙΑΚΙΔΟΥ</t>
  </si>
  <si>
    <t>ΕΛΙΣΣΑΒΕΤ ΜΑΡΙΑ</t>
  </si>
  <si>
    <t>ΑΗ691889</t>
  </si>
  <si>
    <t>ΜΑΧΑ</t>
  </si>
  <si>
    <t>ΑΕ726217</t>
  </si>
  <si>
    <t>ΜΠΑΛΑΜΠΑΝΙΔΟΥ</t>
  </si>
  <si>
    <t>Ξ302321</t>
  </si>
  <si>
    <t>Χ988734</t>
  </si>
  <si>
    <t>ΧΟΝΔΡΟΓΙΑΝΝΗΣ</t>
  </si>
  <si>
    <t>ΑΜ290857</t>
  </si>
  <si>
    <t>ΚΑΛΟΓΕΡΑΚΗ</t>
  </si>
  <si>
    <t>Τ243551</t>
  </si>
  <si>
    <t>Σ887074</t>
  </si>
  <si>
    <t xml:space="preserve">ΜΠΟΛΑΝΟΥ </t>
  </si>
  <si>
    <t>ΚΛΕΑΡΧΟΣ</t>
  </si>
  <si>
    <t>ΑΚ130010</t>
  </si>
  <si>
    <t>ΜΑΡΙΑ-ΝΙΚΗ</t>
  </si>
  <si>
    <t>ΑΑ318554</t>
  </si>
  <si>
    <t>Φ293627</t>
  </si>
  <si>
    <t>ΔΙΑΛΥΝΑ</t>
  </si>
  <si>
    <t>ΑΖ465990</t>
  </si>
  <si>
    <t>ΒΑΣΙΛΟΠΑΝΑΓΟΥ</t>
  </si>
  <si>
    <t>ΑΝ133357</t>
  </si>
  <si>
    <t>ΠΑΣΧΟΥ</t>
  </si>
  <si>
    <t>ΑΕ125610</t>
  </si>
  <si>
    <t>ΚΑΡΑΜΑΛΙΚΗ</t>
  </si>
  <si>
    <t>ΘΕΟΔΟΣΙΑ</t>
  </si>
  <si>
    <t>Σ231206</t>
  </si>
  <si>
    <t>ΓΙΑΝΝΑΡΑΚΗ</t>
  </si>
  <si>
    <t>ΑΙ461562</t>
  </si>
  <si>
    <t>Σ862698</t>
  </si>
  <si>
    <t>ΚΕΦΑΛΟΥΚΑ</t>
  </si>
  <si>
    <t>ΑΙ743164</t>
  </si>
  <si>
    <t>ΚΟΚΚΙΝΑΚΟΥ</t>
  </si>
  <si>
    <t>ΑΗ236727</t>
  </si>
  <si>
    <t>ΚΟΝΤΟΡΟΥΔΑ</t>
  </si>
  <si>
    <t>ΑΕ159380</t>
  </si>
  <si>
    <t>ΖΑΠΡΟΥΔΗ</t>
  </si>
  <si>
    <t>ΑΠΟΣΤΟΛΙΑ</t>
  </si>
  <si>
    <t>ΑΚ882279</t>
  </si>
  <si>
    <t>ΑΜ637033</t>
  </si>
  <si>
    <t>ΤΣΟΥΚΝΙΔΑ</t>
  </si>
  <si>
    <t>Χ509292</t>
  </si>
  <si>
    <t>ΤΡΟΥΣΑ</t>
  </si>
  <si>
    <t>ΑΝ879848</t>
  </si>
  <si>
    <t>ΑΝΕΜΙΔΟΥ</t>
  </si>
  <si>
    <t>ΑΗ9Ι8278</t>
  </si>
  <si>
    <t xml:space="preserve">ΜΠΑΡΑ </t>
  </si>
  <si>
    <t>ΑΕ357258</t>
  </si>
  <si>
    <t>ΛΑΖΑΡΙΔΟΥ ΚΟΣΤΟΥΚΑ</t>
  </si>
  <si>
    <t>ΑΚ298704</t>
  </si>
  <si>
    <t>ΠΑΠΟΥΤΣΗ</t>
  </si>
  <si>
    <t>Χ455310</t>
  </si>
  <si>
    <t>ΣΙΑΜΠΡΑΚΟΥ</t>
  </si>
  <si>
    <t>ΑΚ141149</t>
  </si>
  <si>
    <t>ΑΕ627831</t>
  </si>
  <si>
    <t>ΑΓΓΕΛΙΔΑΚΗ</t>
  </si>
  <si>
    <t>Χ850559</t>
  </si>
  <si>
    <t>ΚΟΤΟΠΟΥΛΗ</t>
  </si>
  <si>
    <t>ΑΜ246303</t>
  </si>
  <si>
    <t>ΨΩΜΑ- ΛΥΜΠΑΡΗ</t>
  </si>
  <si>
    <t>Σ478453</t>
  </si>
  <si>
    <t>ΚΟΥΤΣΙΚΟΥ</t>
  </si>
  <si>
    <t>ΑΗ797646</t>
  </si>
  <si>
    <t>ΤΑΒΛΑΛΗ</t>
  </si>
  <si>
    <t>ΑΗ622845</t>
  </si>
  <si>
    <t>ΚΑΡΑΠΑΝΑΓΟΣ</t>
  </si>
  <si>
    <t>Χ398182</t>
  </si>
  <si>
    <t>ΠΕΤΡΕΝΤΣΗ</t>
  </si>
  <si>
    <t>ΑΗ160637</t>
  </si>
  <si>
    <t>ΤΣΙΩΤΡΑ</t>
  </si>
  <si>
    <t>ΑΙ855925</t>
  </si>
  <si>
    <t>ΦΩΛΙΑ</t>
  </si>
  <si>
    <t>Σ780373</t>
  </si>
  <si>
    <t>ΣΤΕΦΑΝΙΔΟΥ</t>
  </si>
  <si>
    <t xml:space="preserve">ΦΩΤΕΝΗ </t>
  </si>
  <si>
    <t>ΑΑ870617</t>
  </si>
  <si>
    <t>ΣΠΗΛΙΩΤΗ</t>
  </si>
  <si>
    <t>ΤΡΙΑΝΤΑΦΥΛΛΙΑ</t>
  </si>
  <si>
    <t>ΑΙ793723</t>
  </si>
  <si>
    <t>ΧΡΥΣΑΦΟΥΛΑ</t>
  </si>
  <si>
    <t>ΑΖ081862</t>
  </si>
  <si>
    <t>ΚΑΛΟΥΔΗ</t>
  </si>
  <si>
    <t>ΣΥΜΕΛΑ</t>
  </si>
  <si>
    <t>ΑΚ262659</t>
  </si>
  <si>
    <t>ΜΠΑΚΟΓΙΑΝΝΗ</t>
  </si>
  <si>
    <t>ΑΟ363261</t>
  </si>
  <si>
    <t>ΓΙΑΓΚΟΥΛΑ</t>
  </si>
  <si>
    <t>ΑΖ886475</t>
  </si>
  <si>
    <t>ΤΡΑΚΕΛΛΗ</t>
  </si>
  <si>
    <t>ΑΑ439004</t>
  </si>
  <si>
    <t>ΑΝΔΡΟΜΑΧΗ</t>
  </si>
  <si>
    <t>ΑΜ901335</t>
  </si>
  <si>
    <t>ΚΑΣΙΔΗ</t>
  </si>
  <si>
    <t>ΑΜ278723</t>
  </si>
  <si>
    <t>ΓΕΡΟΓΙΑΝΝΗ</t>
  </si>
  <si>
    <t>ΑΝ288355</t>
  </si>
  <si>
    <t>ΝΤΡΟΥΖΟΥ</t>
  </si>
  <si>
    <t>ΑΗ475296</t>
  </si>
  <si>
    <t>Ρ240541</t>
  </si>
  <si>
    <t>ΑΕ044679</t>
  </si>
  <si>
    <t>ΝΑΛΜΠΑΝΤΗ</t>
  </si>
  <si>
    <t>ΑΖ190385</t>
  </si>
  <si>
    <t>ΒΟΥΔΟΥΡΗ</t>
  </si>
  <si>
    <t>Φ323810</t>
  </si>
  <si>
    <t>ΓΡΗΓΟΡΟΠΟΥΛΟΥ</t>
  </si>
  <si>
    <t>Ξ205978</t>
  </si>
  <si>
    <t>ΠΑΛΗΚΑΡΑ</t>
  </si>
  <si>
    <t>ΑΙ553121</t>
  </si>
  <si>
    <t>Σπίνου</t>
  </si>
  <si>
    <t xml:space="preserve">Ευαγγελία </t>
  </si>
  <si>
    <t>Διονύσιος</t>
  </si>
  <si>
    <t>ΑΒ007677</t>
  </si>
  <si>
    <t>ΒΕΝΕΤΣΑΝΟΥ</t>
  </si>
  <si>
    <t>ΑΑ023570</t>
  </si>
  <si>
    <t>ΜΑΝΑΣΣΗ</t>
  </si>
  <si>
    <t>ΑΖ272197</t>
  </si>
  <si>
    <t>ΚΟΛΟΒΟΥ</t>
  </si>
  <si>
    <t>ΑΛΙΚΗ</t>
  </si>
  <si>
    <t>Σ788160</t>
  </si>
  <si>
    <t>ΛΙΑΛΗ</t>
  </si>
  <si>
    <t>ΑΜ667436</t>
  </si>
  <si>
    <t>ΛΕΥΤΕΡΗ</t>
  </si>
  <si>
    <t>ΕΛΕΑΝΑ</t>
  </si>
  <si>
    <t>ΑΚ295210</t>
  </si>
  <si>
    <t>ΟΙΚΟΝΟΜΟΥ</t>
  </si>
  <si>
    <t>ΑΑ362025</t>
  </si>
  <si>
    <t>ΚΩΝΣΤΑΝΤΙΝΙΔΗΣ</t>
  </si>
  <si>
    <t>Ρ716758</t>
  </si>
  <si>
    <t>ΓΛΗΓΟΡΗ</t>
  </si>
  <si>
    <t>ΑΚ962732</t>
  </si>
  <si>
    <t>ΚΛΩΤΣΟΥ</t>
  </si>
  <si>
    <t>ΑΕ483320</t>
  </si>
  <si>
    <t>ΠΟΤΙΡΗ</t>
  </si>
  <si>
    <t>ΑΒ873661</t>
  </si>
  <si>
    <t>ΚΥΡΚΩΣΤΑ</t>
  </si>
  <si>
    <t>ΑΙΜΙΛΙΑ</t>
  </si>
  <si>
    <t>Χ250462</t>
  </si>
  <si>
    <t>ΒΟΥΛΑΛΑ</t>
  </si>
  <si>
    <t>ΑΗ932101</t>
  </si>
  <si>
    <t>ΓΚΑΡΛΗ</t>
  </si>
  <si>
    <t>ΑΙ846901</t>
  </si>
  <si>
    <t>ΧΡΙΣΤΟΔΟΥΛΙΑ</t>
  </si>
  <si>
    <t>ΑΒ192110</t>
  </si>
  <si>
    <t>ΘΕΟΔΩΡΟΠΟΥΛΟΥ</t>
  </si>
  <si>
    <t>ΑΝ603124</t>
  </si>
  <si>
    <t>ΠΕΡΙΒΟΛΑ</t>
  </si>
  <si>
    <t>ΑΒ773549</t>
  </si>
  <si>
    <t>ΚΑΡΑΤΑΣΙΟΥ</t>
  </si>
  <si>
    <t>ΑΖ763206</t>
  </si>
  <si>
    <t>ΜΗΛΩΣΗ</t>
  </si>
  <si>
    <t>ΑΒ678262</t>
  </si>
  <si>
    <t>ΜΑΡΙΑ ΚΟΡΙΝΑ</t>
  </si>
  <si>
    <t>ΑΑ040843</t>
  </si>
  <si>
    <t>ΞΩΞΑΚΟΥ</t>
  </si>
  <si>
    <t>ΑΗ117708</t>
  </si>
  <si>
    <t>ΠΟΤΑΜΙΑΝΟΥ</t>
  </si>
  <si>
    <t>ΓΕΡΑΣΙΜΟΣ-ΣΩΤΗΡΙΟΣ</t>
  </si>
  <si>
    <t>ΑΒ825054</t>
  </si>
  <si>
    <t>ΦΩΤΟΠΟΥΛΟΥ ΜΑΡΓΩΝΗ</t>
  </si>
  <si>
    <t>ΑΕ612596</t>
  </si>
  <si>
    <t>ΤΑΣΟΥΛΑ</t>
  </si>
  <si>
    <t>Π251969</t>
  </si>
  <si>
    <t>ΔΟΥΛΟΥ</t>
  </si>
  <si>
    <t>Ρ389138</t>
  </si>
  <si>
    <t>ΧΑΤΖΗΕΛΕΥΘΕΡΙΑΔΟΥ</t>
  </si>
  <si>
    <t>Χ314094</t>
  </si>
  <si>
    <t>ΧΑΛΚΟΥ</t>
  </si>
  <si>
    <t>ΑΕ594014</t>
  </si>
  <si>
    <t>ΜΑΛΤΕΠΙΩΤΗ</t>
  </si>
  <si>
    <t>ΑΒ466880</t>
  </si>
  <si>
    <t>ΦΩΤΕΙΝΕΑ</t>
  </si>
  <si>
    <t>ΚΑΛΛΙΟΠΗ ΔΑΝΑΗ</t>
  </si>
  <si>
    <t>Χ560513</t>
  </si>
  <si>
    <t>ΣΑΡΙΔΑΚΗ</t>
  </si>
  <si>
    <t>ΑΒ183609</t>
  </si>
  <si>
    <t>ΜΠΟΖΑΚΗ</t>
  </si>
  <si>
    <t>ΖΑΦΕΙΡΗΣ</t>
  </si>
  <si>
    <t>ΑΖ340932</t>
  </si>
  <si>
    <t>ΤΣΟΥΜΗΤΑ</t>
  </si>
  <si>
    <t>ΑΝ210430</t>
  </si>
  <si>
    <t>ΑΕ395621</t>
  </si>
  <si>
    <t>ΤΖΗΓΚΑ</t>
  </si>
  <si>
    <t>ΛΟΥΙΖΑ</t>
  </si>
  <si>
    <t>ΖΗΖΗΣ</t>
  </si>
  <si>
    <t>ΑΒ691595</t>
  </si>
  <si>
    <t>ΑΖ907607</t>
  </si>
  <si>
    <t>ΠΙΠΕΡΙΔΟΥ</t>
  </si>
  <si>
    <t>ΑΙ181704</t>
  </si>
  <si>
    <t>ΚΟΜΝΙΔΟΥ</t>
  </si>
  <si>
    <t>ΑΕ192055</t>
  </si>
  <si>
    <t>ΑΛΑΦΟΥΖΟΥ</t>
  </si>
  <si>
    <t>ΑΝ112573</t>
  </si>
  <si>
    <t>ΠΑΠΑΚΑΛΑ</t>
  </si>
  <si>
    <t>ΑΙ326082</t>
  </si>
  <si>
    <t>ΝΟΝΑ-ΓΕΩΡΓΙΟΥ</t>
  </si>
  <si>
    <t>ΑΖ304195</t>
  </si>
  <si>
    <t>ΤΡΙΑΝΤΑΦΥΛΛΙΑ ΜΑΡΙΑ</t>
  </si>
  <si>
    <t>ΠΡΟΥΣΕΥΣ</t>
  </si>
  <si>
    <t>Χ579018</t>
  </si>
  <si>
    <t>ΜΠΑΝΙΑ</t>
  </si>
  <si>
    <t>ΑΒ499252</t>
  </si>
  <si>
    <t>ΔΕΔΕ</t>
  </si>
  <si>
    <t>Τ254904</t>
  </si>
  <si>
    <t>ΜΑΝΟΥΣΟΣ</t>
  </si>
  <si>
    <t>ΑΝ642968</t>
  </si>
  <si>
    <t>ΕΙΡΗΝΗ-ΜΑΡΙΑ</t>
  </si>
  <si>
    <t>ΑΒ626427</t>
  </si>
  <si>
    <t>ΓΕΩΡΓΙΟΥ ΠΑΠΑΚΥΡΙΑΚΟΥ</t>
  </si>
  <si>
    <t>ΓΚΟΤΣΟΠΟΥΛΟΥ</t>
  </si>
  <si>
    <t>ΑΒ753226</t>
  </si>
  <si>
    <t>ΦΡΑΓΚΟΥ</t>
  </si>
  <si>
    <t>ΑΕ610214</t>
  </si>
  <si>
    <t>ΜΙΧΟΥ</t>
  </si>
  <si>
    <t>ΑΙ251516</t>
  </si>
  <si>
    <t>ΜΑΡΓΑΡΑ</t>
  </si>
  <si>
    <t>ΑΙΚΑΤΕΡΙΝΗ ΚΑΤΙΑ</t>
  </si>
  <si>
    <t>ΑΖ568800</t>
  </si>
  <si>
    <t>ΑΑ272672</t>
  </si>
  <si>
    <t>ΚΡΟΚΙΔΗ</t>
  </si>
  <si>
    <t>Χ383805</t>
  </si>
  <si>
    <t>ΤΣΟΒΙΛΗ</t>
  </si>
  <si>
    <t>ΑΝ652945</t>
  </si>
  <si>
    <t>ΛΟΥΤΑ</t>
  </si>
  <si>
    <t>ΑΙ103145</t>
  </si>
  <si>
    <t>ΔΑΡΣΑΚΛΗ</t>
  </si>
  <si>
    <t>ΑΑ767643</t>
  </si>
  <si>
    <t>ΕΛ ΣΑΧΑΤ</t>
  </si>
  <si>
    <t>ΑΝΤΣΑΦ ΒΑΣΙΛΙΚΗ</t>
  </si>
  <si>
    <t>ΝΑΜΠΙΛ</t>
  </si>
  <si>
    <t>ΑΙ069528</t>
  </si>
  <si>
    <t>ΓΟΥΡΝΑΡΗ</t>
  </si>
  <si>
    <t>ΑΖ575475</t>
  </si>
  <si>
    <t>ΓΙΑΝΝΟΥ</t>
  </si>
  <si>
    <t>Χ308059</t>
  </si>
  <si>
    <t>ΧΡΥΣΑΝΘΟΠΟΥΛΟΥ</t>
  </si>
  <si>
    <t>ΑΒ076826</t>
  </si>
  <si>
    <t>ΜΠΑΤΖΑΚΑ</t>
  </si>
  <si>
    <t>ΚΑΛΛΙΟΠΗ ΧΡΙΣΤΙΝΑ</t>
  </si>
  <si>
    <t>ΑΖ430268</t>
  </si>
  <si>
    <t>ΓΙΑΝΝΟΥΛΗ</t>
  </si>
  <si>
    <t>Χ988268</t>
  </si>
  <si>
    <t>ΡΙΖΟΥ</t>
  </si>
  <si>
    <t>ΑΙ853891</t>
  </si>
  <si>
    <t>ΚΩΝΣΤΑ</t>
  </si>
  <si>
    <t>ΑΒ563928</t>
  </si>
  <si>
    <t>ΘΕΟΔΟΥΛΗ</t>
  </si>
  <si>
    <t>ΖΑΧΑΡΟΥΛΑ</t>
  </si>
  <si>
    <t>ΑΑ263835</t>
  </si>
  <si>
    <t>ΧΑΤΖΗΓΕΩΡΓΙΟΥ</t>
  </si>
  <si>
    <t>ΣΟΦΟΚΛΗΣ</t>
  </si>
  <si>
    <t>Ν923655</t>
  </si>
  <si>
    <t>ΠΡΟΒΑΤΙΔΟΥ</t>
  </si>
  <si>
    <t>ΑΜ913804</t>
  </si>
  <si>
    <t>ΜΠΙΜΠΟΥΔΗ</t>
  </si>
  <si>
    <t>ΑΑ457053</t>
  </si>
  <si>
    <t>ΧΡΙΣΤΟΔΟΥΛΟΥ-ΠΕΧΛΕΒΑΝΗ</t>
  </si>
  <si>
    <t>Τ028890</t>
  </si>
  <si>
    <t>ΚΟΥΤΣΙΟΥΜΠΑ</t>
  </si>
  <si>
    <t>ΑΝ856081</t>
  </si>
  <si>
    <t>ΤΣΑΡΑΣ</t>
  </si>
  <si>
    <t>ΑΙ797918</t>
  </si>
  <si>
    <t>ΓΑΡΟΥΦΑ</t>
  </si>
  <si>
    <t>ΚΩΝΣΤΑΝΤΙΝΙΑ</t>
  </si>
  <si>
    <t>ΑΜ293983</t>
  </si>
  <si>
    <t>ΑΝΑΓΝΩΣΤΗ</t>
  </si>
  <si>
    <t>ΑΖ790099</t>
  </si>
  <si>
    <t>ΖΑΧΑΡΟΠΟΥΛΟΥ</t>
  </si>
  <si>
    <t>ΒΑΓΙΑ</t>
  </si>
  <si>
    <t>ΑΑ972205</t>
  </si>
  <si>
    <t>ΜΠΑΡΟΥΝΗ</t>
  </si>
  <si>
    <t>ΑΡΙΣΤΟΜΕΝΗΣ</t>
  </si>
  <si>
    <t>Χ936436</t>
  </si>
  <si>
    <t>ΑΒ679166</t>
  </si>
  <si>
    <t>ΠΑΠΑΝΙΚΟΛΑΟΥ</t>
  </si>
  <si>
    <t>ΜΑΡΙΜΙΝΑ</t>
  </si>
  <si>
    <t>ΑΗ087000</t>
  </si>
  <si>
    <t>ΜΠΡΟΥΜΑ</t>
  </si>
  <si>
    <t xml:space="preserve">ΧΑΡΙΚΛΕΙΑ ΣΕΒΑΣΤΗ </t>
  </si>
  <si>
    <t>ΣΠΥΡΙΔΩΝ ΜΠΡΟΥΜΑΣ</t>
  </si>
  <si>
    <t>ΑΚ693817</t>
  </si>
  <si>
    <t>ΣΚΑΝΔΑΛΗ</t>
  </si>
  <si>
    <t>ΑΜ376267</t>
  </si>
  <si>
    <t>ΠΑΓΟΥΝΗ</t>
  </si>
  <si>
    <t>Φ351235</t>
  </si>
  <si>
    <t>ΠΕΡΡΗ</t>
  </si>
  <si>
    <t>ΧΟΟ7074</t>
  </si>
  <si>
    <t>ΚΑΡΥΟΦΥΛΛΗ</t>
  </si>
  <si>
    <t>ΚΡΥΣΤΑΛΛΕΝΙΑ</t>
  </si>
  <si>
    <t>ΑΗ348417</t>
  </si>
  <si>
    <t>ΜΠΑΛΟΥΧΑ</t>
  </si>
  <si>
    <t xml:space="preserve">ΣΠΥΡΙΔΟΥΛΑ </t>
  </si>
  <si>
    <t>ΑΙ136604</t>
  </si>
  <si>
    <t>ΑΒ832425</t>
  </si>
  <si>
    <t xml:space="preserve">ΡΟΥΣΙΑΚΗ </t>
  </si>
  <si>
    <t xml:space="preserve">ΠΑΝΑΓΙΩΤΑ </t>
  </si>
  <si>
    <t>ΑΖ003126</t>
  </si>
  <si>
    <t>ΜΗΤΑΚΟΥ</t>
  </si>
  <si>
    <t>ΠΑΡΙΣΗΣ</t>
  </si>
  <si>
    <t>ΑΒ871500</t>
  </si>
  <si>
    <t>ΠΟΥΤΑΧΙΔΟΥ</t>
  </si>
  <si>
    <t>Ρ983360</t>
  </si>
  <si>
    <t>ΛΕΚΑ</t>
  </si>
  <si>
    <t>ΚΡΙΣΤΙΑΝΑ</t>
  </si>
  <si>
    <t>ΣΕΛΙΜ</t>
  </si>
  <si>
    <t>ΑΝ240735</t>
  </si>
  <si>
    <t>ΒΑΙΟΠΟΥΛΟΥ</t>
  </si>
  <si>
    <t>ΑΕ631296</t>
  </si>
  <si>
    <t>ΑΘΗΝΑ ΠΑΡΑΣΚΕΥΗ</t>
  </si>
  <si>
    <t>Φ096291</t>
  </si>
  <si>
    <t>ΝΤΙΚΑ</t>
  </si>
  <si>
    <t>ΑΖ495012</t>
  </si>
  <si>
    <t>ΜΠΟΥΤΣΕΛΗ</t>
  </si>
  <si>
    <t>Χ788612</t>
  </si>
  <si>
    <t>ΚΩΤΣΟΥ</t>
  </si>
  <si>
    <t>ΧΑΡΑΛΑΜΠΟΣ ΚΩΤΣΟΣ</t>
  </si>
  <si>
    <t>ΑΑ496878</t>
  </si>
  <si>
    <t>ΜΠΟΥΚΟΥΒΑΛΑ</t>
  </si>
  <si>
    <t>ΑΜ620335</t>
  </si>
  <si>
    <t>ΜΥΤΙΛΗΝΑΙΟΣ</t>
  </si>
  <si>
    <t>ΑΜ681720</t>
  </si>
  <si>
    <t>ΠΙΤΣΕΡΗ</t>
  </si>
  <si>
    <t>ΑΗ221371</t>
  </si>
  <si>
    <t>ΔΟΜΟΥΖΗ</t>
  </si>
  <si>
    <t>Χ419529</t>
  </si>
  <si>
    <t>ΑΝΝΑ ΜΑΡΙΑ</t>
  </si>
  <si>
    <t>ΑΒ963139</t>
  </si>
  <si>
    <t>ΚΡΑΝΙΔΙΩΤΗ</t>
  </si>
  <si>
    <t>ΑΚ803233</t>
  </si>
  <si>
    <t>ΧΙΩΤΗ</t>
  </si>
  <si>
    <t>Χ424296</t>
  </si>
  <si>
    <t>ΠΑΠΑΒΑΣΙΛΕΙΟΥ</t>
  </si>
  <si>
    <t xml:space="preserve">ΑΙΚΑΤΕΡΙΝΗ </t>
  </si>
  <si>
    <t xml:space="preserve">ΝΙΚΟΛΑΟΣ </t>
  </si>
  <si>
    <t>ΑΖ304419</t>
  </si>
  <si>
    <t>ΚΡΗΤΙΚΑΚΟΥ</t>
  </si>
  <si>
    <t>ΑΝ451021</t>
  </si>
  <si>
    <t>Χ891493</t>
  </si>
  <si>
    <t>ΣΠΑΝΟΥΔΑΚΗ</t>
  </si>
  <si>
    <t>ΑΖ734313</t>
  </si>
  <si>
    <t>ΑΗ290279</t>
  </si>
  <si>
    <t>ΜΠΑΛΛΟΥ</t>
  </si>
  <si>
    <t>ΑΚ022834</t>
  </si>
  <si>
    <t>ΠΕΝΛΟΓΛΟΥ</t>
  </si>
  <si>
    <t>ΒΗΘΛΕΕΜ</t>
  </si>
  <si>
    <t>ΠΑΦΝΟΥΔΙΟΣ</t>
  </si>
  <si>
    <t>ΑΚ326272</t>
  </si>
  <si>
    <t>ΔΡΑΚΑΤΟΥ</t>
  </si>
  <si>
    <t>ΓΑΒΡΙΗΛ</t>
  </si>
  <si>
    <t>ΑΚ337412</t>
  </si>
  <si>
    <t>ΧΑΛΚΙΑ</t>
  </si>
  <si>
    <t>ΑΙΚΑΤΕΡΙΝΑ</t>
  </si>
  <si>
    <t>ΑΟ415298</t>
  </si>
  <si>
    <t>ΠΛΟΥΜΙΔΟΥ</t>
  </si>
  <si>
    <t>Χ784775</t>
  </si>
  <si>
    <t>ΦΥΣΑΚΗ</t>
  </si>
  <si>
    <t>ΦΙΛΙΩ</t>
  </si>
  <si>
    <t>ΑΗ468803</t>
  </si>
  <si>
    <t>Σ234049</t>
  </si>
  <si>
    <t>ΕΜΦΕΤΖΟΓΛΟΥ</t>
  </si>
  <si>
    <t>ΑΗ387294</t>
  </si>
  <si>
    <t>ΚΟΤΤΑ</t>
  </si>
  <si>
    <t>ΑΚ347070</t>
  </si>
  <si>
    <t>ΓΙΑΝΝΑΚΗ</t>
  </si>
  <si>
    <t>ΑΙ229042</t>
  </si>
  <si>
    <t>ΜΠΑΡΜΠΕΡΗ</t>
  </si>
  <si>
    <t>ΑΙ846858</t>
  </si>
  <si>
    <t>ΜΠΑΦΑ</t>
  </si>
  <si>
    <t>ΑΚ383495</t>
  </si>
  <si>
    <t>ΔΙΤΣΟΥΔΗ</t>
  </si>
  <si>
    <t>ΑΒ490233</t>
  </si>
  <si>
    <t>ΠΑΝΤΑΖΙΔΟΥ</t>
  </si>
  <si>
    <t>ΑΝ405772</t>
  </si>
  <si>
    <t>Ξ666685</t>
  </si>
  <si>
    <t>ΑΑ321798</t>
  </si>
  <si>
    <t>ΑΝΔΡΕΑΚΕΝΑ</t>
  </si>
  <si>
    <t>ΔΕΣΠΟΙΝΑ  ΜΑΡΙΑ</t>
  </si>
  <si>
    <t>Χ604200</t>
  </si>
  <si>
    <t>ΔΟΥΜΠΗ</t>
  </si>
  <si>
    <t>ΑΗ331715</t>
  </si>
  <si>
    <t>ΦΑΚΑ</t>
  </si>
  <si>
    <t>ΑΑ427954</t>
  </si>
  <si>
    <t>ΚΟΤΑΡΙΔΗ</t>
  </si>
  <si>
    <t>ΑΝ267794</t>
  </si>
  <si>
    <t>ΠΡΟΦΥΡΗ</t>
  </si>
  <si>
    <t>ΑΗ529228</t>
  </si>
  <si>
    <t>ΣΑΓΚΙΝΕΤΟΥ</t>
  </si>
  <si>
    <t>ΛΕΟΝΑΡΔΟΣ</t>
  </si>
  <si>
    <t>ΑΗ192948</t>
  </si>
  <si>
    <t>ΚΑΡΑΤΑΣΟΥ</t>
  </si>
  <si>
    <t>Χ790842</t>
  </si>
  <si>
    <t>ΜΠΑΣΙΟΥ</t>
  </si>
  <si>
    <t>Χ947201</t>
  </si>
  <si>
    <t>ΚΟΝΤΕ</t>
  </si>
  <si>
    <t>Χ417582</t>
  </si>
  <si>
    <t>ΜΠΑΤΣΙΛΗ</t>
  </si>
  <si>
    <t>ΑΕ816698</t>
  </si>
  <si>
    <t>ΒΕΡΤΖΕΒΟΥΛΙΑ</t>
  </si>
  <si>
    <t>ΑΗ900842</t>
  </si>
  <si>
    <t>ΜΑΝΤΖΙΑΡΗ</t>
  </si>
  <si>
    <t>ΑΜ849311</t>
  </si>
  <si>
    <t>ΣΤΑΥΛΑ</t>
  </si>
  <si>
    <t>Τ400500</t>
  </si>
  <si>
    <t>ΠΕΛΕΚΑΝΟΥ</t>
  </si>
  <si>
    <t>ΑΙ117059</t>
  </si>
  <si>
    <t>ΑΜ026917</t>
  </si>
  <si>
    <t>Νικολοπουλου</t>
  </si>
  <si>
    <t>Γεωργια</t>
  </si>
  <si>
    <t>Κωνσταντινος</t>
  </si>
  <si>
    <t>ΑΒ402227</t>
  </si>
  <si>
    <t>Φ244596</t>
  </si>
  <si>
    <t>ΚΑΦΑΡΟΒΑ</t>
  </si>
  <si>
    <t>ΑΝ565726</t>
  </si>
  <si>
    <t>ΜΠΙΛΙΑΣ</t>
  </si>
  <si>
    <t>ΑΒ766062</t>
  </si>
  <si>
    <t>ΦΩΚΑ</t>
  </si>
  <si>
    <t>ΑΒ611306</t>
  </si>
  <si>
    <t>ΑΗ412436</t>
  </si>
  <si>
    <t>ΦΥΣΑΡΑΚΗ</t>
  </si>
  <si>
    <t>ΑΒ962870</t>
  </si>
  <si>
    <t>ΤΣΙΚΟΛΑΤΑΣ</t>
  </si>
  <si>
    <t>ΑΗ819111</t>
  </si>
  <si>
    <t>ΓΚΑΒΟΥΔΗ</t>
  </si>
  <si>
    <t>ΦΩΤΙΟΣ-ΑΧΙΛΛΕΑΣ</t>
  </si>
  <si>
    <t>ΑΙ632079</t>
  </si>
  <si>
    <t>ΛΑΓΟΓΙΑΝΝΗ</t>
  </si>
  <si>
    <t>ΑΒ791919</t>
  </si>
  <si>
    <t>ΖΑΦΕΙΡΙΟΥ ΠΑΡΟΥΤΟΓΛΟΥ</t>
  </si>
  <si>
    <t>ΜΑΡΙΑ ΑΓΓΕΛΑ</t>
  </si>
  <si>
    <t>ΖΑΦΕΙΡΙΟΣ</t>
  </si>
  <si>
    <t>ΑΜ662309</t>
  </si>
  <si>
    <t>ΓΡΑΜΜΑΤΙΚΟΥ</t>
  </si>
  <si>
    <t>Χ433458</t>
  </si>
  <si>
    <t>ΑΒ083118</t>
  </si>
  <si>
    <t>ΜΠΟΖΙΝΟΥ</t>
  </si>
  <si>
    <t>ΠΑΣΧΑΛΙΝΑ</t>
  </si>
  <si>
    <t>ΑΕ129184</t>
  </si>
  <si>
    <t>Ματσούκα</t>
  </si>
  <si>
    <t>Γεώργιος</t>
  </si>
  <si>
    <t>ΑΒ582343</t>
  </si>
  <si>
    <t>ΜΑΟΥΝΗ</t>
  </si>
  <si>
    <t>ΑΖ451516</t>
  </si>
  <si>
    <t>ΚΑΛΟΓΡΙΑΝΙΤΗ</t>
  </si>
  <si>
    <t>Π906005</t>
  </si>
  <si>
    <t>ΠΑΛΑΜΙΔΗ ΡΙΓΚΕΡ</t>
  </si>
  <si>
    <t>ΝΑΤΑΛΙΑ</t>
  </si>
  <si>
    <t>ΑΙ625413</t>
  </si>
  <si>
    <t>ΚΑΡΟΥΤΖΟΥ</t>
  </si>
  <si>
    <t>ΠΑΝΑΓΙΩΤΑ ΒΑΡΒΑΡΑ</t>
  </si>
  <si>
    <t>ΑΚ729211</t>
  </si>
  <si>
    <t>ΑΡΒΑΝΙΤΑΚΗ</t>
  </si>
  <si>
    <t>ΦΑΝΟΥΡΙΟΣ</t>
  </si>
  <si>
    <t>Ρ814201</t>
  </si>
  <si>
    <t>ΑΗ885968</t>
  </si>
  <si>
    <t>ΚΑΤΣΑΜΠΕΡΗ</t>
  </si>
  <si>
    <t>Φ493559</t>
  </si>
  <si>
    <t>ΡΙΓΛΗ</t>
  </si>
  <si>
    <t>ΑΜ028705</t>
  </si>
  <si>
    <t>ΘΩΜΟΠΟΥΛΟΥ</t>
  </si>
  <si>
    <t>ΚΑΤΕΡΙΝΑ</t>
  </si>
  <si>
    <t>ΑΙ776376</t>
  </si>
  <si>
    <t>Κωστακου</t>
  </si>
  <si>
    <t>Παρασκευη</t>
  </si>
  <si>
    <t>Δαβος</t>
  </si>
  <si>
    <t>ΑΙ200633</t>
  </si>
  <si>
    <t>ΝΤΟΥΛΕ</t>
  </si>
  <si>
    <t>ΑΙ254544</t>
  </si>
  <si>
    <t>ΜΑΡΟΥΣΗ</t>
  </si>
  <si>
    <t>ΑΖ886793</t>
  </si>
  <si>
    <t>ΚΑΠΝΙΣΤΗ</t>
  </si>
  <si>
    <t>ΑΖ728072</t>
  </si>
  <si>
    <t>ΚΑΙΤΑΤΖΗ</t>
  </si>
  <si>
    <t>ΑΕ765140</t>
  </si>
  <si>
    <t>ΑΝΘΟΥΛΑ</t>
  </si>
  <si>
    <t>ΑΚ289195</t>
  </si>
  <si>
    <t>ΔΡΑΚΟΥΛΑΚΟΥ</t>
  </si>
  <si>
    <t>ΑΙ802309</t>
  </si>
  <si>
    <t>ΜΠΡΕΝΤΑ</t>
  </si>
  <si>
    <t>Σ454978</t>
  </si>
  <si>
    <t>ΑΝΤΖΑΚΑ</t>
  </si>
  <si>
    <t>ΑΝ369370</t>
  </si>
  <si>
    <t>ΑΕ051839</t>
  </si>
  <si>
    <t>ΑΖ818786</t>
  </si>
  <si>
    <t>ΕΥΘΥΜ</t>
  </si>
  <si>
    <t>Χ762290</t>
  </si>
  <si>
    <t>ΜΠΡΑΝΤΙΤΣΑ</t>
  </si>
  <si>
    <t>ΑΒ270275</t>
  </si>
  <si>
    <t>ΚΑΡΑΠΕΤΡΙΔΟΥ</t>
  </si>
  <si>
    <t>ΑΕ677045</t>
  </si>
  <si>
    <t>ΚΟΓΙΑ</t>
  </si>
  <si>
    <t>ΑΚ038649</t>
  </si>
  <si>
    <t>ΠΑΥΛΟΥ</t>
  </si>
  <si>
    <t>ΑΖ323125</t>
  </si>
  <si>
    <t>ΛΟΥΙΖΟΥ</t>
  </si>
  <si>
    <t>Ρ183000</t>
  </si>
  <si>
    <t>ΚΟΚΚΙΝΟΥ</t>
  </si>
  <si>
    <t>ΑΒ141198</t>
  </si>
  <si>
    <t>ΑΙ060481</t>
  </si>
  <si>
    <t>ΚΑΡΑΓΙΩΡΓΗ</t>
  </si>
  <si>
    <t>Χ598435</t>
  </si>
  <si>
    <t>ΤΟΠΑΛΙΔΟΥ</t>
  </si>
  <si>
    <t>ΑΚΡΙΤΑΣ</t>
  </si>
  <si>
    <t>ΑΚ434286</t>
  </si>
  <si>
    <t>ΣΑΡΑΓΙΩΤΗ</t>
  </si>
  <si>
    <t>Χ757369</t>
  </si>
  <si>
    <t>ΕΥΓΕΝΙΚΟΥ</t>
  </si>
  <si>
    <t>ΑΖ180722</t>
  </si>
  <si>
    <t>ΝΤΑΦΟΥ - ΒΑΪΟΥΛΗ</t>
  </si>
  <si>
    <t xml:space="preserve">ΜΑΡΙΑ ΘΩΜΑΗ </t>
  </si>
  <si>
    <t>ΡΙΝΤΟΥ</t>
  </si>
  <si>
    <t>ΑΚ435365</t>
  </si>
  <si>
    <t>ΑΒ135629</t>
  </si>
  <si>
    <t>ΜΠΑΚΑΝΤΑΚΗ</t>
  </si>
  <si>
    <t>ΑΒ478535</t>
  </si>
  <si>
    <t>ΠΑΡΜΑΚΗ</t>
  </si>
  <si>
    <t>ΑΖ499613</t>
  </si>
  <si>
    <t>Σ936511</t>
  </si>
  <si>
    <t>ΣΓΙΝΤΖΑ</t>
  </si>
  <si>
    <t>ΑΜ067534</t>
  </si>
  <si>
    <t>ΜΑΤΘΑΙΟΥ</t>
  </si>
  <si>
    <t>ΑΙ600641</t>
  </si>
  <si>
    <t>ΒΑΝΤΑΡΑΚΗ</t>
  </si>
  <si>
    <t>ΑΙ212040</t>
  </si>
  <si>
    <t>ΛΥΚΟΥΔΗ</t>
  </si>
  <si>
    <t>ΑΚ573643</t>
  </si>
  <si>
    <t>ΚΩΣΤΟΠΟΥΛΟΥ</t>
  </si>
  <si>
    <t>ΑΒ313694</t>
  </si>
  <si>
    <t>ΑΙ852399</t>
  </si>
  <si>
    <t>ΚΟΤΙΟΥ</t>
  </si>
  <si>
    <t>ΑΖ387067</t>
  </si>
  <si>
    <t>ΜΠΟΤΖΟΛΑΚΗ</t>
  </si>
  <si>
    <t>Σ504306</t>
  </si>
  <si>
    <t>ΚΑΡΑΦΕΛΙΑΝ</t>
  </si>
  <si>
    <t>ΜΑΡΙΑΜ</t>
  </si>
  <si>
    <t>ΑΡΣΑΚ</t>
  </si>
  <si>
    <t>Χ742673</t>
  </si>
  <si>
    <t>ΔΕΛΗΖΗΣΗ</t>
  </si>
  <si>
    <t>ΑΙ869081</t>
  </si>
  <si>
    <t>ΠΑΣΧΑΛΗ</t>
  </si>
  <si>
    <t>ΑΒ472878</t>
  </si>
  <si>
    <t>ΑΓΟΡΟΠΟΥΛΟΥ</t>
  </si>
  <si>
    <t>ΑΗ305031</t>
  </si>
  <si>
    <t>ΖΕΡΒΑ</t>
  </si>
  <si>
    <t>ΑΚ969307</t>
  </si>
  <si>
    <t>ΖΑΡΚΑΔΟΥΛΑ</t>
  </si>
  <si>
    <t>Χ778507</t>
  </si>
  <si>
    <t>ΨΑΙΛΑ</t>
  </si>
  <si>
    <t>ΑΝ148679</t>
  </si>
  <si>
    <t>ΚΑΠΕΛΛΑ</t>
  </si>
  <si>
    <t>ΑΑ423252</t>
  </si>
  <si>
    <t>ΜΟΣΧΙΔΟΥ</t>
  </si>
  <si>
    <t>ΚΑΡΙΟΦΥΛΛΗΣ</t>
  </si>
  <si>
    <t>ΑΖ204335</t>
  </si>
  <si>
    <t>ΠΑΡΑΣΚΕΥΑΙΔΟΥ</t>
  </si>
  <si>
    <t>ΑΒ895689</t>
  </si>
  <si>
    <t>ΤΣΟΓΚΑ</t>
  </si>
  <si>
    <t>ΑΕ290479</t>
  </si>
  <si>
    <t>ΙΩΑΝΝΟΥ</t>
  </si>
  <si>
    <t>ΑΟ395082</t>
  </si>
  <si>
    <t>ΠΑΡΑΣΚΕΥΟΠΟΥΛΟΥ</t>
  </si>
  <si>
    <t>ΑΕ235266</t>
  </si>
  <si>
    <t>ΜΙΧΟΣ</t>
  </si>
  <si>
    <t>ΑΖ287671</t>
  </si>
  <si>
    <t>ΒΟΥΛΓΑΡΗ</t>
  </si>
  <si>
    <t>Π251706</t>
  </si>
  <si>
    <t>ΖΑΧΑΡΙΑ</t>
  </si>
  <si>
    <t>ΑΒ754684</t>
  </si>
  <si>
    <t>ΛΑΣΗΘΙΩΤΑΚΗ</t>
  </si>
  <si>
    <t>Χ487290</t>
  </si>
  <si>
    <t>ΚΕΡΜΑΝΙΔΟΥ</t>
  </si>
  <si>
    <t>ΑΖ550211</t>
  </si>
  <si>
    <t>ΑΝΑΣΤΑΣΑΚΗ</t>
  </si>
  <si>
    <t>ΡΟΔΗ-ΕΛΕΥΘΕΡΙΑ</t>
  </si>
  <si>
    <t>ΑΝ588014</t>
  </si>
  <si>
    <t>ΤΣΙΚΝΑΚΗ</t>
  </si>
  <si>
    <t>ΑΓΓΕΛΑΙΝΑ</t>
  </si>
  <si>
    <t>Π840405</t>
  </si>
  <si>
    <t>ΚΑΦΑΝΤΑΡΗ</t>
  </si>
  <si>
    <t>ΑΚ463564</t>
  </si>
  <si>
    <t>ΒΑΣΙΛΑΚΟΥ</t>
  </si>
  <si>
    <t>Σ507482</t>
  </si>
  <si>
    <t>ΓΙΑΚΟΥΜΕΛΟΥ</t>
  </si>
  <si>
    <t>ΑΕ788631</t>
  </si>
  <si>
    <t>ΓΕΩΡΓΑΝΤΑ</t>
  </si>
  <si>
    <t>ΑΗ518351</t>
  </si>
  <si>
    <t>ΣΤΑΥΡΑΚΗ</t>
  </si>
  <si>
    <t>ΑΗ792169</t>
  </si>
  <si>
    <t>ΠΥΡΕΤΖΗ</t>
  </si>
  <si>
    <t>ΑΟ408032</t>
  </si>
  <si>
    <t>Σ783387</t>
  </si>
  <si>
    <t>ΓΙΑΚΟΥΜΑΚΗ</t>
  </si>
  <si>
    <t>Φ345511</t>
  </si>
  <si>
    <t>ΓΙΑΛΟΥ</t>
  </si>
  <si>
    <t>ΑΒ494222</t>
  </si>
  <si>
    <t>ΚΑΛΛΕΡΓΗ</t>
  </si>
  <si>
    <t>ΑΚ482730</t>
  </si>
  <si>
    <t>ΑΛΙΚΗ-ΜΥΡΤΩ</t>
  </si>
  <si>
    <t>Π004558</t>
  </si>
  <si>
    <t>ΣΑΜΑΡΑ</t>
  </si>
  <si>
    <t>ΑΕ236150</t>
  </si>
  <si>
    <t>ΣΤΑΜΠΟΥΛΟΓΛΟΥ</t>
  </si>
  <si>
    <t>ΑΜ387403</t>
  </si>
  <si>
    <t>ΚΑΠΑΓΙΑΝΝΙΔΟΥ</t>
  </si>
  <si>
    <t>ΕΛΗΝΑ</t>
  </si>
  <si>
    <t>ΑΕ872140</t>
  </si>
  <si>
    <t>ΛΑΖΟΠΟΥΛΟΥ</t>
  </si>
  <si>
    <t>ΑΖ850868</t>
  </si>
  <si>
    <t>ΚΩΝΣΤΑΝΤΑΡΑ</t>
  </si>
  <si>
    <t>ΕΛΕΥΘΕΡΙΑ ΕΙΡΗΝΗ</t>
  </si>
  <si>
    <t>Χ419165</t>
  </si>
  <si>
    <t>ΜΑΤΑΚΟΥ</t>
  </si>
  <si>
    <t>ΚΩΝ/ΝΟΣ</t>
  </si>
  <si>
    <t>ΑΙ187392</t>
  </si>
  <si>
    <t>ΓΛΕΖΟΥ</t>
  </si>
  <si>
    <t>ΑΑ013724</t>
  </si>
  <si>
    <t>Βερδικοπλή</t>
  </si>
  <si>
    <t xml:space="preserve">Δημήτριος </t>
  </si>
  <si>
    <t>ΑΙ343703</t>
  </si>
  <si>
    <t>ΤΡΙΓΑΖΗ</t>
  </si>
  <si>
    <t>ΑΗ717674</t>
  </si>
  <si>
    <t>ΕΥΘΥΜΙΟΥ</t>
  </si>
  <si>
    <t>ΑΝ683152</t>
  </si>
  <si>
    <t>ΠΑΠΑΓΙΑΝΝΑΚΗ</t>
  </si>
  <si>
    <t>ΑΙ148053</t>
  </si>
  <si>
    <t>ΝΤΟΥΡΑΛΗ</t>
  </si>
  <si>
    <t>Χ604480</t>
  </si>
  <si>
    <t>ΡΙΤΣΟΥ</t>
  </si>
  <si>
    <t>ΑΗ580999</t>
  </si>
  <si>
    <t>ΚΑΜΝΟΡΟΚΑ</t>
  </si>
  <si>
    <t>ΑΗ370448</t>
  </si>
  <si>
    <t>ΑΒ962153</t>
  </si>
  <si>
    <t>ΖΟΓΚΟΥ</t>
  </si>
  <si>
    <t>ΑΖ225561</t>
  </si>
  <si>
    <t>ΑΦΕΝΤΑΚΗ</t>
  </si>
  <si>
    <t>ΑΗ040479</t>
  </si>
  <si>
    <t>ΝΙΤΣΑ</t>
  </si>
  <si>
    <t>ΧΡΗΣΤΟΣ-ΔΡΟΣΟΣ</t>
  </si>
  <si>
    <t>ΑΒ548010</t>
  </si>
  <si>
    <t>ΓΑΛΕΡΑΚΗ</t>
  </si>
  <si>
    <t>ΜΑΡΙΑ-ΕΙΡΗΝΗ</t>
  </si>
  <si>
    <t>ΑΙ458346</t>
  </si>
  <si>
    <t>ΔΑΛΑΜΠΕΚΗ</t>
  </si>
  <si>
    <t>Φ094589</t>
  </si>
  <si>
    <t>ΑΗ273408</t>
  </si>
  <si>
    <t>ΓΩΓΟΥ</t>
  </si>
  <si>
    <t>ΑΒ373536</t>
  </si>
  <si>
    <t>ΧΑΙΔΩ</t>
  </si>
  <si>
    <t>ΑΙ278070</t>
  </si>
  <si>
    <t>ΞΥΛΟΥΔΗ</t>
  </si>
  <si>
    <t>ΑΖ845435</t>
  </si>
  <si>
    <t>ΜΑΤΘΑΙΑΚΗ</t>
  </si>
  <si>
    <t>ΦΡΑΓΚΙΣΚΟΣ</t>
  </si>
  <si>
    <t>ΑΝ931059</t>
  </si>
  <si>
    <t>ΠΑΠΑΔΗΜΟΥ</t>
  </si>
  <si>
    <t>ΑΙ836108</t>
  </si>
  <si>
    <t>ΜΠΑΞΕΒΑΝΙΔΟΥ</t>
  </si>
  <si>
    <t>ΘΕΟΔΟΣΙΟΣ</t>
  </si>
  <si>
    <t>ΑΕ424888</t>
  </si>
  <si>
    <t>ΠΙΠΕΡΗ</t>
  </si>
  <si>
    <t>ΑΖ878999</t>
  </si>
  <si>
    <t>ΔΑΚΤΥΛΑ</t>
  </si>
  <si>
    <t>ΑΙ291818</t>
  </si>
  <si>
    <t>ΑΑ378355</t>
  </si>
  <si>
    <t>Ξ582977</t>
  </si>
  <si>
    <t>ΥΦΑΝΤΗ</t>
  </si>
  <si>
    <t>Χ620646</t>
  </si>
  <si>
    <t>ΚΑΣΙΜΗ</t>
  </si>
  <si>
    <t>ΣΑΤΥΑ ΑΝΑΣΤΑΣΙΑ</t>
  </si>
  <si>
    <t>ΑΒ593028</t>
  </si>
  <si>
    <t>ΑΖ146771</t>
  </si>
  <si>
    <t>ΣΤΙΝΗ</t>
  </si>
  <si>
    <t>ΑΕ946880</t>
  </si>
  <si>
    <t>ΜΩΥΣΙΑΔΗΣ</t>
  </si>
  <si>
    <t>ΑΗ391494</t>
  </si>
  <si>
    <t>ΠΑΝΟΠΟΥΛΟΥ</t>
  </si>
  <si>
    <t>ΑΑ448489</t>
  </si>
  <si>
    <t>ΑΓΙΑΣΣΩΤΕΛΛΗ</t>
  </si>
  <si>
    <t>ΑΝ029475</t>
  </si>
  <si>
    <t>ΜΠΟΥΛΗ</t>
  </si>
  <si>
    <t>ΑΚ124797</t>
  </si>
  <si>
    <t>ΜΙΧΑΛΙΑΣΛΗ</t>
  </si>
  <si>
    <t>ΑΒ608865</t>
  </si>
  <si>
    <t>ΠΕΠΠΑ</t>
  </si>
  <si>
    <t>Σ796579</t>
  </si>
  <si>
    <t>ΧΑΤΟΥΠΗ</t>
  </si>
  <si>
    <t>ΑΚ487013</t>
  </si>
  <si>
    <t>ΑΤΜΑΤΖΟΓΛΟΥ</t>
  </si>
  <si>
    <t>ΑΘΗΝΟΥΛΑ</t>
  </si>
  <si>
    <t>Ξ699177</t>
  </si>
  <si>
    <t>ΚΑΡΑΣΤΑΜΑΤΗ</t>
  </si>
  <si>
    <t>ΑΖ268186</t>
  </si>
  <si>
    <t xml:space="preserve">ΦΑΣΟΥΛΑ </t>
  </si>
  <si>
    <t xml:space="preserve">ΕΙΡΗΝΗ </t>
  </si>
  <si>
    <t>ΑΒ961558</t>
  </si>
  <si>
    <t>ΓΙΟΚΑΡΗ</t>
  </si>
  <si>
    <t>ΞΕΝΟΦΩΝ</t>
  </si>
  <si>
    <t>Χ128654</t>
  </si>
  <si>
    <t>ΜΑΝΟΥΣΑΚΗ</t>
  </si>
  <si>
    <t>ΠΑΓΩΝΑ</t>
  </si>
  <si>
    <t>ΕΜΑΝΟΥΗΛ</t>
  </si>
  <si>
    <t>ΑΒ961773</t>
  </si>
  <si>
    <t>ΔΕΜΕΡΤΖΙΔΟΥ</t>
  </si>
  <si>
    <t>ΑΒ437363</t>
  </si>
  <si>
    <t>ΔΕΝΔΡΙΝΟΥ</t>
  </si>
  <si>
    <t>ΑΕ754059</t>
  </si>
  <si>
    <t>ΑΙ185776</t>
  </si>
  <si>
    <t>ΡΟΥΣΣΗ</t>
  </si>
  <si>
    <t>ΣΟΥΣΑΝΑ</t>
  </si>
  <si>
    <t>ΑΖ091138</t>
  </si>
  <si>
    <t>ΔΡΟΣΟΥ</t>
  </si>
  <si>
    <t>ΑΒ052740</t>
  </si>
  <si>
    <t>ΝΙΚΟΥ</t>
  </si>
  <si>
    <t>ΣΤΕΡΓΙΟΣ</t>
  </si>
  <si>
    <t>ΑΖ179087</t>
  </si>
  <si>
    <t>ΤΖΑΝΕΤΟΥ</t>
  </si>
  <si>
    <t>ΑΕ737911</t>
  </si>
  <si>
    <t>ΜΠΑΛΙΟΥ</t>
  </si>
  <si>
    <t>ΑΗ843078</t>
  </si>
  <si>
    <t>Σ806449</t>
  </si>
  <si>
    <t>ΝΕΡΑΝΤΖΗ</t>
  </si>
  <si>
    <t>ΑΕ433354</t>
  </si>
  <si>
    <t>ΜΟΥΤΣΙΟΥ</t>
  </si>
  <si>
    <t>Ρ780071</t>
  </si>
  <si>
    <t>ΓΑΤΣΙΟΥ</t>
  </si>
  <si>
    <t>ΑΒ724669</t>
  </si>
  <si>
    <t>ΦΙΛΙΠΠΟΓΛΟΥ</t>
  </si>
  <si>
    <t>Χ971418</t>
  </si>
  <si>
    <t>ΧΡΗΣΤΟΥ</t>
  </si>
  <si>
    <t>ΑΚ985658</t>
  </si>
  <si>
    <t>AΙ764603</t>
  </si>
  <si>
    <t>ΤΣΑΡΣΙΤΑΛΙΔΟΥ</t>
  </si>
  <si>
    <t>ΑΖ187030</t>
  </si>
  <si>
    <t>ΑΠΟΣΤΟΛΑΚΟΠΟΥΛΟΥ</t>
  </si>
  <si>
    <t>ΑΒ422088</t>
  </si>
  <si>
    <t>ΜΕΣΤΑΝ</t>
  </si>
  <si>
    <t>ΕΜΕΛ</t>
  </si>
  <si>
    <t>ΑΧΜΕΤ</t>
  </si>
  <si>
    <t>ΑΖ364160</t>
  </si>
  <si>
    <t>ΣΤΑΜΑΤΙΟΥ</t>
  </si>
  <si>
    <t>Φ226427</t>
  </si>
  <si>
    <t>ΒΑΧΑΒΙΩΛΟΥ</t>
  </si>
  <si>
    <t xml:space="preserve">ΓΕΩΡΓΙΑ ΙΩΑΝΝΑ </t>
  </si>
  <si>
    <t>ΑΝ158029</t>
  </si>
  <si>
    <t>ΑΕ401062</t>
  </si>
  <si>
    <t>ΣΑΒΒΙΔΟΥ</t>
  </si>
  <si>
    <t>Χ244829</t>
  </si>
  <si>
    <t>ΤΣΑΚΙΡΗ</t>
  </si>
  <si>
    <t>ΑΖ650394</t>
  </si>
  <si>
    <t>ΣΜΙΛΙΔΟΥ</t>
  </si>
  <si>
    <t>ΑΚ921709</t>
  </si>
  <si>
    <t>ΠΑΠΑΝΤΩΝΑΚΗ</t>
  </si>
  <si>
    <t>Ν961762</t>
  </si>
  <si>
    <t>ΒΑΡΣΑΜΗ</t>
  </si>
  <si>
    <t>Χ318512</t>
  </si>
  <si>
    <t>ΒΛΑΧΟΥ</t>
  </si>
  <si>
    <t>Τ010564</t>
  </si>
  <si>
    <t>ΚΑΛΦΑΓΙΑΝΝΗ</t>
  </si>
  <si>
    <t>ΑΒ384476</t>
  </si>
  <si>
    <t>ΚΟΤΡΩΤΣΟΥ</t>
  </si>
  <si>
    <t>ΠΗΝΕΛΟΠΗ ΜΑΡΙΑ</t>
  </si>
  <si>
    <t>ΑΗ978755</t>
  </si>
  <si>
    <t>ΑΛΕΞΑΝΔΡΙΔΗ</t>
  </si>
  <si>
    <t>ΑΑ052573</t>
  </si>
  <si>
    <t>ΣΠΑΡΑΓΓΗ</t>
  </si>
  <si>
    <t>Σ470890</t>
  </si>
  <si>
    <t>ΑΙ839153</t>
  </si>
  <si>
    <t>ΤΣΟΥΛΙΑ</t>
  </si>
  <si>
    <t>ΑΜ106364</t>
  </si>
  <si>
    <t>ΔΟΥΡΟΥ</t>
  </si>
  <si>
    <t>ΑΗ763489</t>
  </si>
  <si>
    <t>ΑΜ838738</t>
  </si>
  <si>
    <t>ΚΟΝΤΟΠΙΔΗ</t>
  </si>
  <si>
    <t>Χ030268</t>
  </si>
  <si>
    <t>ΑΦΗΣΙΑΔΟΥ</t>
  </si>
  <si>
    <t>ΑΙ394920</t>
  </si>
  <si>
    <t>ΒΕΖΙΡΤΖΟΓΛΟΥ</t>
  </si>
  <si>
    <t>ΑΖ884907</t>
  </si>
  <si>
    <t>ΚΑΡΔΑΜΥΛΛΑ</t>
  </si>
  <si>
    <t>Χ920537</t>
  </si>
  <si>
    <t>ΠΑΠΑΣΙΜΟΥ</t>
  </si>
  <si>
    <t>ΑΙ511163</t>
  </si>
  <si>
    <t>ΠΑΛΑΙΟΛΟΓΟΥ</t>
  </si>
  <si>
    <t>ΑΝ664771</t>
  </si>
  <si>
    <t>ΣΚΟΥΡΑ</t>
  </si>
  <si>
    <t>ΑΒ394009</t>
  </si>
  <si>
    <t>ΚΑΤΣΙΑΔΑ</t>
  </si>
  <si>
    <t>ΑΚ357810</t>
  </si>
  <si>
    <t>ΔΑΝΙΚΑ</t>
  </si>
  <si>
    <t>ΑΑ359019</t>
  </si>
  <si>
    <t>ΜΟΥΡΕΛΑΤΟΥ</t>
  </si>
  <si>
    <t>ΓΕΡΑΣΙΜΟΥΛΑ</t>
  </si>
  <si>
    <t>ΑΒ325475</t>
  </si>
  <si>
    <t>ΚΑΡΑΚΩΣΤΑ</t>
  </si>
  <si>
    <t>ΑΝ796753</t>
  </si>
  <si>
    <t>Τ046845</t>
  </si>
  <si>
    <t>ΚΟΧΙΛΑΣ</t>
  </si>
  <si>
    <t>ΣΤΡΑΤΗΣ</t>
  </si>
  <si>
    <t>ΑΖ125255</t>
  </si>
  <si>
    <t>ΚΑΠΕΟΛΔΑΣΗ</t>
  </si>
  <si>
    <t>ΑΜ385925</t>
  </si>
  <si>
    <t>ΔΟΝΤΑ</t>
  </si>
  <si>
    <t>Σ469172</t>
  </si>
  <si>
    <t>ΚΑΤΣΑΝΟΥ</t>
  </si>
  <si>
    <t>Π851110</t>
  </si>
  <si>
    <t>ΚΟΒΕΡΗ</t>
  </si>
  <si>
    <t>ΑΙ636086</t>
  </si>
  <si>
    <t>ΜΑΛΟΥΧΟΥ</t>
  </si>
  <si>
    <t>ΑΒ394898</t>
  </si>
  <si>
    <t>ΛΕΒΕΝΤΑΚΗ</t>
  </si>
  <si>
    <t>ΑΙ152277</t>
  </si>
  <si>
    <t>ΜΩΚΑ</t>
  </si>
  <si>
    <t>ΑΗ475385</t>
  </si>
  <si>
    <t>ROTARU</t>
  </si>
  <si>
    <t>ANDREI</t>
  </si>
  <si>
    <t>ROBERTH</t>
  </si>
  <si>
    <t>ΓΙΑΝΝΑΚΗΣ</t>
  </si>
  <si>
    <t>ΑΕ543284</t>
  </si>
  <si>
    <t>ΣΤΑΘΟΠΟΥΛΟΥ</t>
  </si>
  <si>
    <t>Π323809</t>
  </si>
  <si>
    <t>ΑΙ386897</t>
  </si>
  <si>
    <t>ΔΡΟΣΟΠΑΝΑΓΙΩΤΗ</t>
  </si>
  <si>
    <t>ΜΑΡΙΑ ΑΝΝΑ</t>
  </si>
  <si>
    <t>ΑΜ273694</t>
  </si>
  <si>
    <t>ΚΛΑΟΥΡΑΚΗ</t>
  </si>
  <si>
    <t>ΑΒ481198</t>
  </si>
  <si>
    <t>ΣΧΙΖΑ</t>
  </si>
  <si>
    <t>ΑΕ748190</t>
  </si>
  <si>
    <t>ΒΑΛΜΑ</t>
  </si>
  <si>
    <t xml:space="preserve">ΕΛΕΝΗ </t>
  </si>
  <si>
    <t>ΑΗ290710</t>
  </si>
  <si>
    <t>ΑΜ407856</t>
  </si>
  <si>
    <t>ΑΝΑΓΝΩΣΤΟΠΟΥΛΟΥ</t>
  </si>
  <si>
    <t>Χ717133</t>
  </si>
  <si>
    <t>ΚΩΤΟΥΛΑ</t>
  </si>
  <si>
    <t>ΑΡΓΥΡΟΥΛΑ</t>
  </si>
  <si>
    <t>ΑΜ842374</t>
  </si>
  <si>
    <t>ΝΙΚΑ</t>
  </si>
  <si>
    <t>ΑΙ978317</t>
  </si>
  <si>
    <t>ΧΗΤΟΥ</t>
  </si>
  <si>
    <t>ΑΖ747992</t>
  </si>
  <si>
    <t>ΧΡΗΣΤΙΔΟΥ</t>
  </si>
  <si>
    <t>ΑΖ849620</t>
  </si>
  <si>
    <t>ΧΡΥΣΑΦΗ</t>
  </si>
  <si>
    <t>ΘΕΟΔΩΡΑ ΜΑΡΙΑ</t>
  </si>
  <si>
    <t>ΑΒ555718</t>
  </si>
  <si>
    <t>ΒΑΛΗΛΗ</t>
  </si>
  <si>
    <t>ΧΡΥΣΣΑ</t>
  </si>
  <si>
    <t>ΑΗ927176</t>
  </si>
  <si>
    <t>ΛΕΠΙΤΚΑ</t>
  </si>
  <si>
    <t>ΑΜ408916</t>
  </si>
  <si>
    <t>ΠΑΠΑΖΟΓΛΟΥ</t>
  </si>
  <si>
    <t>ΑΝ840017</t>
  </si>
  <si>
    <t>ΓΕΩΡΓΟΥΔΗ</t>
  </si>
  <si>
    <t>ΑΣΗΜΕΝΙΑ</t>
  </si>
  <si>
    <t>Χ717459</t>
  </si>
  <si>
    <t>ΝΙΚΗΦΟΡΙΔΟΥ</t>
  </si>
  <si>
    <t>ΑΕ689810</t>
  </si>
  <si>
    <t>ΡΟΚΑ</t>
  </si>
  <si>
    <t>ΑΙ988263</t>
  </si>
  <si>
    <t>ΣΤΑΝΙΤΣΑ</t>
  </si>
  <si>
    <t>ΞΑΝΘΗ</t>
  </si>
  <si>
    <t>Π371145</t>
  </si>
  <si>
    <t>ΜΠΕΚΙΑΡΗ</t>
  </si>
  <si>
    <t>Χ750021</t>
  </si>
  <si>
    <t>ΑΚ068516</t>
  </si>
  <si>
    <t>ΜΠΛΑΝΤΗ</t>
  </si>
  <si>
    <t>ΑΕ801991</t>
  </si>
  <si>
    <t>ΖΗΡΔΕΛΗ</t>
  </si>
  <si>
    <t>ΑΜ821635</t>
  </si>
  <si>
    <t>ΜΗΤΣΙΟΥ</t>
  </si>
  <si>
    <t>ΚΑΛΛΙΝΩ</t>
  </si>
  <si>
    <t>ΑΖ297377</t>
  </si>
  <si>
    <t>ΡΟΜΠΟΤΗ</t>
  </si>
  <si>
    <t>Χ718786</t>
  </si>
  <si>
    <t>ΔΟΥΒΙΚΑ</t>
  </si>
  <si>
    <t>ΑΝ961382</t>
  </si>
  <si>
    <t>Χ406033</t>
  </si>
  <si>
    <t>ΜΠΑΡΙΤΑΚΗ</t>
  </si>
  <si>
    <t>ΑΙ105183</t>
  </si>
  <si>
    <t>ΓΚΟΒΟΠΟΥΛΟΥ</t>
  </si>
  <si>
    <t>ΑΙ534917</t>
  </si>
  <si>
    <t>ΚΟΥΚΟΥΛΟΥ</t>
  </si>
  <si>
    <t>ΑΗ325731</t>
  </si>
  <si>
    <t>ΚΕΦΑΛΑ</t>
  </si>
  <si>
    <t>ΑΕ511471</t>
  </si>
  <si>
    <t>ΔΡΟΛΑΠΑ</t>
  </si>
  <si>
    <t>Χ989715</t>
  </si>
  <si>
    <t>ΧΑΡΙΖΑΝΗ</t>
  </si>
  <si>
    <t>ΑΑ337700</t>
  </si>
  <si>
    <t>ΒΑΡΔΑΡΗ</t>
  </si>
  <si>
    <t>ΑΚ433128</t>
  </si>
  <si>
    <t>ΓΚΟΥΣΑΡΗ</t>
  </si>
  <si>
    <t>ΘΕΟΦΑΝΗ</t>
  </si>
  <si>
    <t>Χ489038</t>
  </si>
  <si>
    <t>ΠΗΛΙΧΟΥ</t>
  </si>
  <si>
    <t>ΠΑΝΑΓΙΩΤ</t>
  </si>
  <si>
    <t>Ν574647</t>
  </si>
  <si>
    <t>ΣΚΛΙΑ</t>
  </si>
  <si>
    <t>ΑΕ139784</t>
  </si>
  <si>
    <t>ΓΑΡΟΥΦΑΛΙΔΟΥ</t>
  </si>
  <si>
    <t>ΑΜ298322</t>
  </si>
  <si>
    <t>ΑΑ427259</t>
  </si>
  <si>
    <t>ΤΣΙΝΤΑΡΗ ΤΣΑΜΠΑΖΟΓΛΟΥ</t>
  </si>
  <si>
    <t>ΙΩΑΚΕΙΜ</t>
  </si>
  <si>
    <t>ΑΝ656505</t>
  </si>
  <si>
    <t>ΜΑΡΙΝΑ ΕΙΡΗΝΗ</t>
  </si>
  <si>
    <t>ΑΕ822987</t>
  </si>
  <si>
    <t>ΟΥΡΑΝΟΥ</t>
  </si>
  <si>
    <t>Χ851078</t>
  </si>
  <si>
    <t>ΑΝ826767</t>
  </si>
  <si>
    <t>ΣΚΕΝΤΟΥ</t>
  </si>
  <si>
    <t>ΑΚ392678</t>
  </si>
  <si>
    <t>ΠΑΠΑΚΩΝΣΤΑΝΤΙΝΟΥ</t>
  </si>
  <si>
    <t>ΑΒ341047</t>
  </si>
  <si>
    <t>ΑΡΓΥΡΑΚΗ</t>
  </si>
  <si>
    <t>ΦΙΛΟΚΤΗΤΗΣ</t>
  </si>
  <si>
    <t>ΑΚ629177</t>
  </si>
  <si>
    <t>Μένκσι</t>
  </si>
  <si>
    <t>Βιολέττα</t>
  </si>
  <si>
    <t>Γιάννι</t>
  </si>
  <si>
    <t>ΑΖ891479</t>
  </si>
  <si>
    <t>ΠΑΠΑΝΤΣΙΟΥ</t>
  </si>
  <si>
    <t>Σ971713</t>
  </si>
  <si>
    <t>ΠΡΟΚΟΥ</t>
  </si>
  <si>
    <t>ΑΝ678796</t>
  </si>
  <si>
    <t>ΣΚΑΝΔΑΛΟΥ</t>
  </si>
  <si>
    <t>Χ779854</t>
  </si>
  <si>
    <t>ΣΚΥΛΛΑ</t>
  </si>
  <si>
    <t>ΑΗ 954346</t>
  </si>
  <si>
    <t>ΟΡΦΑΝΟΥ</t>
  </si>
  <si>
    <t>ΑΚ049402</t>
  </si>
  <si>
    <t>ΔΑΡΑΚΗ</t>
  </si>
  <si>
    <t>ΑΖ390647</t>
  </si>
  <si>
    <t>ΜΑΝΙΚΑ</t>
  </si>
  <si>
    <t>Χ290519</t>
  </si>
  <si>
    <t>Φ341111</t>
  </si>
  <si>
    <t>ΜΠΟΛΑΝΟΥ</t>
  </si>
  <si>
    <t>ΑΚ578033</t>
  </si>
  <si>
    <t>ΑΚ300869</t>
  </si>
  <si>
    <t>ΠΕΤΡΑ</t>
  </si>
  <si>
    <t>Χ760839</t>
  </si>
  <si>
    <t>ΑΚ879926</t>
  </si>
  <si>
    <t>ΓΟΒΑ</t>
  </si>
  <si>
    <t>ΑΗ034586</t>
  </si>
  <si>
    <t>Χ876258</t>
  </si>
  <si>
    <t>ΖΗΣΙΔΟΥ</t>
  </si>
  <si>
    <t>ΑΚ320135</t>
  </si>
  <si>
    <t>ΜΠΑΜΠΑ</t>
  </si>
  <si>
    <t>Τ486962</t>
  </si>
  <si>
    <t>ΚΟΥΡΠΑΝΙΔΗ</t>
  </si>
  <si>
    <t>ΑΗ594521</t>
  </si>
  <si>
    <t>Φ474844</t>
  </si>
  <si>
    <t>ΚΥΠΡΑΙΟΥ</t>
  </si>
  <si>
    <t>ΑΒ297501</t>
  </si>
  <si>
    <t>ΣΑΒΒΟΠΟΥΛΟΥ ΚΕΦΑΛΑ</t>
  </si>
  <si>
    <t>ΑΜ655430</t>
  </si>
  <si>
    <t>ΣΤΟΥΜΠΟΥ</t>
  </si>
  <si>
    <t>ΑΜ323857</t>
  </si>
  <si>
    <t>ΔΗΜΗΤΡΟΥΛΑΚΗ</t>
  </si>
  <si>
    <t>Ρ005245</t>
  </si>
  <si>
    <t>ΑΖ681733</t>
  </si>
  <si>
    <t>ΓΑΛΑΤΣΙΔΑ</t>
  </si>
  <si>
    <t>ΑΗ763723</t>
  </si>
  <si>
    <t>ΑΙ065679</t>
  </si>
  <si>
    <t>ΚΟΥΣΤΑ ΒΛΑΧΟΥ</t>
  </si>
  <si>
    <t>Χ657926</t>
  </si>
  <si>
    <t>ΠΟΛΙΤΗ</t>
  </si>
  <si>
    <t>Χ931091</t>
  </si>
  <si>
    <t>ΚΟΥΡΟΥΝΗ</t>
  </si>
  <si>
    <t>ΑΝ710000</t>
  </si>
  <si>
    <t>ΒΛΑΖΑΚΗ</t>
  </si>
  <si>
    <t>ΑΖ018788</t>
  </si>
  <si>
    <t>ΖΕΛΙΟΥ</t>
  </si>
  <si>
    <t>ΑΕ226672</t>
  </si>
  <si>
    <t>ΓΙΑΣΗΜΑΚΟΥ</t>
  </si>
  <si>
    <t>ΚΩΝΣΤ</t>
  </si>
  <si>
    <t>Ν571316</t>
  </si>
  <si>
    <t>ΚΑΡΑΓΕΩΡΓΙΟΥ</t>
  </si>
  <si>
    <t>ΑΗ875897</t>
  </si>
  <si>
    <t>ΦΙΛΙΟΠΟΥΛΟΥ</t>
  </si>
  <si>
    <t>ΑΒ263122</t>
  </si>
  <si>
    <t>ΑΕ747953</t>
  </si>
  <si>
    <t>ΑΙ349893</t>
  </si>
  <si>
    <t>ΠΑΝΑΓΙΩΤΙΔΟΥ</t>
  </si>
  <si>
    <t>ΑΗ579501</t>
  </si>
  <si>
    <t>ΠΑΝΑΓΙΩΤΟΠΟΥΛΟΥ</t>
  </si>
  <si>
    <t>ΑΜ342620</t>
  </si>
  <si>
    <t>Π335940</t>
  </si>
  <si>
    <t>ΧΟΙΛΟΥ</t>
  </si>
  <si>
    <t>Φ177577</t>
  </si>
  <si>
    <t>ΤΣΑΠΕΚΟΥ</t>
  </si>
  <si>
    <t>ΔΗΜΟΚΡΑΤΗΣ</t>
  </si>
  <si>
    <t>ΣΚΟΥΤΑΡΙΩΤΗ</t>
  </si>
  <si>
    <t>ΑΖ559138</t>
  </si>
  <si>
    <t>ΜΑΝΩΛΑΡΟΥ</t>
  </si>
  <si>
    <t>Μ904419</t>
  </si>
  <si>
    <t>ΧΑΤΖΗ</t>
  </si>
  <si>
    <t>ΚΟΡΙΝΑ</t>
  </si>
  <si>
    <t>Ρ353646</t>
  </si>
  <si>
    <t>Φ352845</t>
  </si>
  <si>
    <t>Νικολού</t>
  </si>
  <si>
    <t>Ιωάννης</t>
  </si>
  <si>
    <t>ΑΙ308570</t>
  </si>
  <si>
    <t>ΠΑΠΟΥΛΙΔΟΥ</t>
  </si>
  <si>
    <t>ΑΒ 350633</t>
  </si>
  <si>
    <t>ΠΗΤΤΑ</t>
  </si>
  <si>
    <t>ΡΟΔΟΠΗ</t>
  </si>
  <si>
    <t>ΣΤΑΜΑΤΗΣ</t>
  </si>
  <si>
    <t>ΑΒ352398</t>
  </si>
  <si>
    <t>ΜΑΤΣΑ</t>
  </si>
  <si>
    <t>Χ752662</t>
  </si>
  <si>
    <t>ΝΙΚΟΛΑΚΑΚΗ</t>
  </si>
  <si>
    <t>ΑΒ488243</t>
  </si>
  <si>
    <t>ΔΙΚΑΡΟΥ</t>
  </si>
  <si>
    <t>ΑΖ535560</t>
  </si>
  <si>
    <t>Ρ704114</t>
  </si>
  <si>
    <t>ΧΑΡΔΑΒΕΛΑ</t>
  </si>
  <si>
    <t>ΑΚ259377</t>
  </si>
  <si>
    <t>ΠΑΡΑΣΧΗ</t>
  </si>
  <si>
    <t>Μ558133</t>
  </si>
  <si>
    <t>ΑΜ914380</t>
  </si>
  <si>
    <t>ΚΟΛΛΑΡΗ</t>
  </si>
  <si>
    <t>Χ987243</t>
  </si>
  <si>
    <t>ΠΕΤΑΛΙΔΟΥ</t>
  </si>
  <si>
    <t>Μαργαρίτα</t>
  </si>
  <si>
    <t>ΑΖ804553</t>
  </si>
  <si>
    <t>ΜΠΑΤΑΔΑΚΗ</t>
  </si>
  <si>
    <t>ΑΙ 151221</t>
  </si>
  <si>
    <t>ΛΟΥΛΟΥΔΑΚΗ</t>
  </si>
  <si>
    <t>ΑΑ393282</t>
  </si>
  <si>
    <t>ΓΚΟΥΓΚΟΥΛΙΑ</t>
  </si>
  <si>
    <t>Χ913145</t>
  </si>
  <si>
    <t>ΜΠΟΡΜΠΟΥΔΑΚΗ</t>
  </si>
  <si>
    <t>ΕΥΦΡΟΣΥΝΗ ΕΙΡΗΝΗ</t>
  </si>
  <si>
    <t>ΑΗ139614</t>
  </si>
  <si>
    <t>ΚΙΟΥΡΤΣΗ</t>
  </si>
  <si>
    <t>ΑΒ073140</t>
  </si>
  <si>
    <t>Ρ250813</t>
  </si>
  <si>
    <t>ΛΥΚΟΘΑΝΑΣΗ</t>
  </si>
  <si>
    <t>ΔΗΜΗΤΡΙΟ</t>
  </si>
  <si>
    <t>Τ279195</t>
  </si>
  <si>
    <t>ΜΑΥΡΑΓΑΝΗ</t>
  </si>
  <si>
    <t>Ξ999390</t>
  </si>
  <si>
    <t>ΚΟΥΤΡΑΣ</t>
  </si>
  <si>
    <t>ΓΕΩΡΓΙΟΣ ΒΛΑΣΙΟΣ</t>
  </si>
  <si>
    <t>ΑΖ692089</t>
  </si>
  <si>
    <t>ΑΕ331127</t>
  </si>
  <si>
    <t>ΔΑΡΔΑΝΗ</t>
  </si>
  <si>
    <t>ΑΙ813047</t>
  </si>
  <si>
    <t>ΧΕΡΙΣΤΑΝΙΔΟΥ</t>
  </si>
  <si>
    <t>ΑΜ682786</t>
  </si>
  <si>
    <t>ΤΟΥΛΙΟΥ</t>
  </si>
  <si>
    <t>ΕΛΕΥΘ</t>
  </si>
  <si>
    <t>ΑΒ677735</t>
  </si>
  <si>
    <t>ΧΟΜΠΗ</t>
  </si>
  <si>
    <t>Λ992578</t>
  </si>
  <si>
    <t>ΛΑΜΠΡΟΠΟΥΛΟΥ</t>
  </si>
  <si>
    <t>ΘΕΟΔΟΣΗΣ</t>
  </si>
  <si>
    <t>ΑΖ704138</t>
  </si>
  <si>
    <t>ΦΟΥΝΤΟΥΛΑΚΗ</t>
  </si>
  <si>
    <t>ΑΝΤΩΝΙΑ ΑΡΓΥΡΩ</t>
  </si>
  <si>
    <t>ΑΙ473131</t>
  </si>
  <si>
    <t>ΚΑΤΑΠΟΔΗ</t>
  </si>
  <si>
    <t>ΑΛΕΞΑΝΔΡΑ ΒΑΣΙΛΙΚΗ</t>
  </si>
  <si>
    <t>ΑΙ011795</t>
  </si>
  <si>
    <t>ΒΑΣΚΟΥ</t>
  </si>
  <si>
    <t>Φ174066</t>
  </si>
  <si>
    <t>ΣΑΑΜΠΑΝ</t>
  </si>
  <si>
    <t>ΑΗ628654</t>
  </si>
  <si>
    <t>ΘΕΟΦΙΛΟΥ</t>
  </si>
  <si>
    <t>Χ833165</t>
  </si>
  <si>
    <t>ΑΚ210477</t>
  </si>
  <si>
    <t>ΑΛΕΞΑΝΔΡΑΤΟΥ</t>
  </si>
  <si>
    <t>ΒΕΝΕΤΙΑ</t>
  </si>
  <si>
    <t>ΑΗ701469</t>
  </si>
  <si>
    <t>ΖΟΥΡΝΑΤΖΙΔΟΥ</t>
  </si>
  <si>
    <t>Τ794989</t>
  </si>
  <si>
    <t>ΒΑΧΤΣΕΒΑΝΟΥ</t>
  </si>
  <si>
    <t>Φ275356</t>
  </si>
  <si>
    <t>ΒΑΡΔΑΡΟΥ</t>
  </si>
  <si>
    <t>Χ527910</t>
  </si>
  <si>
    <t>ΑΛΕΞΙΑΔΟΥ</t>
  </si>
  <si>
    <t>ΑΚ298740</t>
  </si>
  <si>
    <t>ΡΕΚΚΑ</t>
  </si>
  <si>
    <t>ΑΗ691932</t>
  </si>
  <si>
    <t>ΔΙΑΜΑΝΤΙΔΟΥ</t>
  </si>
  <si>
    <t>ΑΒ451845</t>
  </si>
  <si>
    <t>Γαλανη</t>
  </si>
  <si>
    <t>Δημητριος</t>
  </si>
  <si>
    <t>ΑΚ 272300</t>
  </si>
  <si>
    <t>ΣΟΥΜΠΑΣΗ</t>
  </si>
  <si>
    <t>ΑΗ220609</t>
  </si>
  <si>
    <t>ΑΜ770000</t>
  </si>
  <si>
    <t>ΠΑΝΤΕΛΙΑ</t>
  </si>
  <si>
    <t>ΣΑΡΑΝΤΗΣ</t>
  </si>
  <si>
    <t>ΑΒ015998</t>
  </si>
  <si>
    <t>ΣΠΑΝΟΥ</t>
  </si>
  <si>
    <t>ΑΚ115086</t>
  </si>
  <si>
    <t>ΠΑΠΑΠΟΣΤΟΛΟΥ</t>
  </si>
  <si>
    <t>ΑΗ179924</t>
  </si>
  <si>
    <t>ΤΡΙΑΝΤΑΦΥΛΛΙΔΟΥ</t>
  </si>
  <si>
    <t>ΑΖ924615</t>
  </si>
  <si>
    <t>ΠΑΡΑΦΕΛΑ</t>
  </si>
  <si>
    <t>ΑΕ862350</t>
  </si>
  <si>
    <t>ΔΕΡΜΕΝΤΖΑΚΗ</t>
  </si>
  <si>
    <t>Σ966342</t>
  </si>
  <si>
    <t>ΦΟΥΡΤΑΚΑ</t>
  </si>
  <si>
    <t>ΑΒ991553</t>
  </si>
  <si>
    <t>ΑΙ849075</t>
  </si>
  <si>
    <t>ΟΥΖΟΥΝΙΔΟΥ</t>
  </si>
  <si>
    <t>ΑΝ761467</t>
  </si>
  <si>
    <t>ΔΑΓΔΕΛΕΝΙΔΟΥ</t>
  </si>
  <si>
    <t>Π546496</t>
  </si>
  <si>
    <t>Χ274317</t>
  </si>
  <si>
    <t>Παπανικολάου</t>
  </si>
  <si>
    <t xml:space="preserve">Δήμητρα </t>
  </si>
  <si>
    <t xml:space="preserve">Αναστάσιος </t>
  </si>
  <si>
    <t>ΑΕ345723</t>
  </si>
  <si>
    <t>ΛΑΔΑ</t>
  </si>
  <si>
    <t>Π844370</t>
  </si>
  <si>
    <t>ΠΑΛΕΓΚΑ</t>
  </si>
  <si>
    <t>Χ747920</t>
  </si>
  <si>
    <t>ΖΑΧΑΡΗ</t>
  </si>
  <si>
    <t>ΑΑ086866</t>
  </si>
  <si>
    <t>ΜΗΤΡΟΠΟΥΛΟΥ</t>
  </si>
  <si>
    <t>ΑΗ295515</t>
  </si>
  <si>
    <t>ΠΑΧΑΤΟΥΡΙΔΟΥ</t>
  </si>
  <si>
    <t>ΑΚ007295</t>
  </si>
  <si>
    <t>ΑΣΗΜΑΚΗ</t>
  </si>
  <si>
    <t>ΑΖ222520</t>
  </si>
  <si>
    <t>ΑΒ779869</t>
  </si>
  <si>
    <t>ΑΖ593491</t>
  </si>
  <si>
    <t>ΚΑΡΔΑΣΗ</t>
  </si>
  <si>
    <t>ΑΚ032240</t>
  </si>
  <si>
    <t>ΜΠΑΜΠΑΡΑΤΣΑ</t>
  </si>
  <si>
    <t>ΑΖ641780</t>
  </si>
  <si>
    <t>ΚΕΦΑΛΟΠΟΥΛΟΥ</t>
  </si>
  <si>
    <t>ΑΙ318999</t>
  </si>
  <si>
    <t>ΤΕΡΗ</t>
  </si>
  <si>
    <t>ΑΖ040250</t>
  </si>
  <si>
    <t>ΤΩΜΑΔΑΚΗ</t>
  </si>
  <si>
    <t>ΑΜ481931</t>
  </si>
  <si>
    <t>ΝΤΑΚΟΥΛΑ</t>
  </si>
  <si>
    <t>ΑΒ282146</t>
  </si>
  <si>
    <t>ΑΓΓΕΛΟΓΛΟΥ</t>
  </si>
  <si>
    <t>ΑΑ226230</t>
  </si>
  <si>
    <t>ΜΠΑΛΑΛΗ</t>
  </si>
  <si>
    <t>ΓΡΗΓΟΡΙΑ</t>
  </si>
  <si>
    <t>ΕΛΠΙΔΟΦΟΡΟΣ</t>
  </si>
  <si>
    <t>ΑΒ178160</t>
  </si>
  <si>
    <t xml:space="preserve">Λάππα </t>
  </si>
  <si>
    <t xml:space="preserve">Ερασμία </t>
  </si>
  <si>
    <t>Γεωργίος</t>
  </si>
  <si>
    <t>ΑΖ537793</t>
  </si>
  <si>
    <t>ΓΑΛΑΝΟΥ</t>
  </si>
  <si>
    <t>ΑΕ440430</t>
  </si>
  <si>
    <t>ΚΑΚΟΛΥΡΗ</t>
  </si>
  <si>
    <t>ΕΥΑΓΓΕΛΙΑ-ΑΜΑΛΙΑ</t>
  </si>
  <si>
    <t>ΑΗ206172</t>
  </si>
  <si>
    <t>ΣΤΕΙΑΚΑΚΗ</t>
  </si>
  <si>
    <t>ΧΑΡΙΔΗΜΟΣ</t>
  </si>
  <si>
    <t>ΑΖ961536</t>
  </si>
  <si>
    <t>ΒΟΣΝΑΚΙΔΟΥ</t>
  </si>
  <si>
    <t>ΑΚ451220</t>
  </si>
  <si>
    <t>ΝΤΩΝΙΑ</t>
  </si>
  <si>
    <t>MAΡΙΑ</t>
  </si>
  <si>
    <t>ΜΟΣΧΟΣ</t>
  </si>
  <si>
    <t>ΧΡΙΣΤΙΝΑ ΑΝΑΣΤΑΣΙΑ</t>
  </si>
  <si>
    <t>ΑΗ685381</t>
  </si>
  <si>
    <t>ΔΑΡΔΟΥΜΠΑ</t>
  </si>
  <si>
    <t>ΑΚ901369</t>
  </si>
  <si>
    <t>ΓΕΩΡΓΙΩΤΗ</t>
  </si>
  <si>
    <t>Χ453366</t>
  </si>
  <si>
    <t>ΑΝ856232</t>
  </si>
  <si>
    <t>ΚΩΣΤΟΥΛΑ</t>
  </si>
  <si>
    <t>ΑΚ828863</t>
  </si>
  <si>
    <t>ΜΟΥΣΤΟΥΚΗ</t>
  </si>
  <si>
    <t>ΑΖ006366</t>
  </si>
  <si>
    <t>ΗΛΙΟΠΟΥΛΟΥ</t>
  </si>
  <si>
    <t>ΑΝ541821</t>
  </si>
  <si>
    <t>ΑΝΔΡΕΟΓΛΟΥ</t>
  </si>
  <si>
    <t>ΑΗ378658</t>
  </si>
  <si>
    <t>ΜΑΣΤΡΟΝΙΚΟΛΑ</t>
  </si>
  <si>
    <t>Χ007441</t>
  </si>
  <si>
    <t>ΤΣΙΑΡΑ</t>
  </si>
  <si>
    <t>ΑΖ692807</t>
  </si>
  <si>
    <t>ΚΟΛΙΟΚΩΤΣΗ</t>
  </si>
  <si>
    <t>ΑΙ261383</t>
  </si>
  <si>
    <t>ΝΤΟΥΡΑΚΗ</t>
  </si>
  <si>
    <t>ΑΕ978659</t>
  </si>
  <si>
    <t>ΜΑΝΔΑΝΗ</t>
  </si>
  <si>
    <t>Χ278349</t>
  </si>
  <si>
    <t>ΠΑΠΑΘΕΟΔΩΡΟΥ</t>
  </si>
  <si>
    <t>Φ277930</t>
  </si>
  <si>
    <t>ΛΙΟΥΔΑΚΗΣ</t>
  </si>
  <si>
    <t>Φ294403</t>
  </si>
  <si>
    <t>ΑΠΑΖΙΔΟΥ</t>
  </si>
  <si>
    <t>ΑΗ293914</t>
  </si>
  <si>
    <t>ΓΚΙΟΥΛΟΓΛΟΥ</t>
  </si>
  <si>
    <t>ΑΝ094844</t>
  </si>
  <si>
    <t>ΑΙ660229</t>
  </si>
  <si>
    <t>ΚΟΠΤΕΡΟΠΟΥΛΟΥ</t>
  </si>
  <si>
    <t>ΑΕ167769</t>
  </si>
  <si>
    <t>ΠΑΠΑΓΙΑΝΝΑΚΟΠΟΥΛΟΥ</t>
  </si>
  <si>
    <t>ΑΖ217484</t>
  </si>
  <si>
    <t>ΞΩΜΑΛΗ</t>
  </si>
  <si>
    <t>ΑΙ197770</t>
  </si>
  <si>
    <t>ΑΒ725670</t>
  </si>
  <si>
    <t>ΛΑΠΠΑ</t>
  </si>
  <si>
    <t>Χ374883</t>
  </si>
  <si>
    <t>ΑΒ071228</t>
  </si>
  <si>
    <t>ΑΕ488736</t>
  </si>
  <si>
    <t>ΠΑΤΣΙΟΥ</t>
  </si>
  <si>
    <t>ΑΚ371327</t>
  </si>
  <si>
    <t>ΚΟΓΙΟΥ</t>
  </si>
  <si>
    <t>ΑΝ743507</t>
  </si>
  <si>
    <t>Φ188626</t>
  </si>
  <si>
    <t>ΤΣΟΛΑΚΙΔΟΥ</t>
  </si>
  <si>
    <t>ΑΖ906586</t>
  </si>
  <si>
    <t>ΦΑΛΙΔΑ</t>
  </si>
  <si>
    <t>ΑΙ512839</t>
  </si>
  <si>
    <t>ΜΑΥΡΟΓΕΩΡΓΗ</t>
  </si>
  <si>
    <t>ΑΗ034198</t>
  </si>
  <si>
    <t>ΑΙ202762</t>
  </si>
  <si>
    <t>ΤΕΛΙΟΥ</t>
  </si>
  <si>
    <t>ΑΝ345820</t>
  </si>
  <si>
    <t>ΚΥΡΟΥ</t>
  </si>
  <si>
    <t>ΑΜ398600</t>
  </si>
  <si>
    <t>ΣΙΩΖΗ</t>
  </si>
  <si>
    <t>Φ159945</t>
  </si>
  <si>
    <t>ΜΑΡΟΥΛΑΚΗ</t>
  </si>
  <si>
    <t>ΑΜ952959</t>
  </si>
  <si>
    <t>ΣΑΒΒΑ</t>
  </si>
  <si>
    <t>Ν271329</t>
  </si>
  <si>
    <t>Π539905</t>
  </si>
  <si>
    <t>ΑΙ952097</t>
  </si>
  <si>
    <t>ΣΤΡΑΤΟΥΛΑ</t>
  </si>
  <si>
    <t>ΑΜ345774</t>
  </si>
  <si>
    <t>ΟΡΟΥΤΖΟΓΛΟΥ</t>
  </si>
  <si>
    <t>ΜΑΡΙΑΝΑ</t>
  </si>
  <si>
    <t>ΑΖ907502</t>
  </si>
  <si>
    <t>ΙΤΣΚΟΥ</t>
  </si>
  <si>
    <t>ΑΕ818248</t>
  </si>
  <si>
    <t>ΕΡΜΙΔΟΥ</t>
  </si>
  <si>
    <t>ΑΒ063137</t>
  </si>
  <si>
    <t>ΤΟΣΟΥΝΙΔΟΥ</t>
  </si>
  <si>
    <t>Χ817987</t>
  </si>
  <si>
    <t>ΚΟΛΙΠΕΤΣΑ</t>
  </si>
  <si>
    <t>Χ285198</t>
  </si>
  <si>
    <t>ΣΑΧΑ</t>
  </si>
  <si>
    <t>Π488504</t>
  </si>
  <si>
    <t>ΑΖ660212</t>
  </si>
  <si>
    <t>ΑΒ764689</t>
  </si>
  <si>
    <t>ΠΕΤΤΑ</t>
  </si>
  <si>
    <t>ΑΙ277308</t>
  </si>
  <si>
    <t>ΖΑΝΔΕ</t>
  </si>
  <si>
    <t>ΑΝΝΑ ΦΡΑΤΖΕΣΚΑ</t>
  </si>
  <si>
    <t>Χ739627</t>
  </si>
  <si>
    <t>ΑΝ023798</t>
  </si>
  <si>
    <t>ΜΠΟΥΚΟΥΜΑΝΗ</t>
  </si>
  <si>
    <t>ΑΒ409019</t>
  </si>
  <si>
    <t>ΜΑΡΟΥΛΗ</t>
  </si>
  <si>
    <t>Χ385943</t>
  </si>
  <si>
    <t>ΚΑΛΑΜΙΔΑ</t>
  </si>
  <si>
    <t>ΑΜ522498</t>
  </si>
  <si>
    <t>ΚΙΜΙΚ-ΕΛΕΥΘΕΡΙΟΣ</t>
  </si>
  <si>
    <t>ΑΖ900678</t>
  </si>
  <si>
    <t>ΚΟΥΚΑ</t>
  </si>
  <si>
    <t>ΑΕ699029</t>
  </si>
  <si>
    <t>ΚΑΡΑΓΚΟΥΝΗ</t>
  </si>
  <si>
    <t>ΑΑ440677</t>
  </si>
  <si>
    <t xml:space="preserve">Φλώρου </t>
  </si>
  <si>
    <t xml:space="preserve">Γλυκερία </t>
  </si>
  <si>
    <t xml:space="preserve">Ιωάννης </t>
  </si>
  <si>
    <t>ΑΑ851086</t>
  </si>
  <si>
    <t>ΓΚΑΝΑ</t>
  </si>
  <si>
    <t>ΑΙ231624</t>
  </si>
  <si>
    <t>ΜΟΡΑΛΗ</t>
  </si>
  <si>
    <t>Τ811041</t>
  </si>
  <si>
    <t>ΠΑΝΑΓΙΟΥ</t>
  </si>
  <si>
    <t>Χ364596</t>
  </si>
  <si>
    <t>ΤΣΑΝΑΚΑΛΙΩΤΗ ΠΑΝΤΕΛΑΚΗ</t>
  </si>
  <si>
    <t>ΑΜ056595</t>
  </si>
  <si>
    <t>ΕΡΜΙΟΝΗ</t>
  </si>
  <si>
    <t>Χ087720</t>
  </si>
  <si>
    <t>ΚΟΡΝΗΛΙΑ</t>
  </si>
  <si>
    <t>ΑΕ363232</t>
  </si>
  <si>
    <t>ΓΙΩΡΓΑΚΗ</t>
  </si>
  <si>
    <t>ΑΖ953480</t>
  </si>
  <si>
    <t>ΠΟ'Ι'ΡΙΑΖΗ</t>
  </si>
  <si>
    <t>Π803611</t>
  </si>
  <si>
    <t>ΜΑΡΚΟΠΟΥΛΟΥ</t>
  </si>
  <si>
    <t>ΑΙ871872</t>
  </si>
  <si>
    <t>ΛΑΜΠΡΑΚΗ</t>
  </si>
  <si>
    <t>ΑΝ634442</t>
  </si>
  <si>
    <t>ΚΑΡΧΑΡΙΔΟΥ</t>
  </si>
  <si>
    <t>ΑΚ302262</t>
  </si>
  <si>
    <t>ΜΠΕΤΤΑ</t>
  </si>
  <si>
    <t>ΓΚΟΛΦΩ</t>
  </si>
  <si>
    <t>ΑΒ191663</t>
  </si>
  <si>
    <t>ΚΟΡΟΛΗ</t>
  </si>
  <si>
    <t>Π118317</t>
  </si>
  <si>
    <t>ΚΑΣΩΤΑΚΗ</t>
  </si>
  <si>
    <t>ΣΩΣΣΑΝΑ</t>
  </si>
  <si>
    <t>ΝΙΚΗΤΑΣ</t>
  </si>
  <si>
    <t>ΑΕ617492</t>
  </si>
  <si>
    <t>ΚΑΡΑΜΕΡΗ</t>
  </si>
  <si>
    <t>ΑΕ722070</t>
  </si>
  <si>
    <t>ΠΑΛΑΙΟΥΔΑΚΗ</t>
  </si>
  <si>
    <t>ΑΗ682930</t>
  </si>
  <si>
    <t xml:space="preserve">ΔΡΕΜΙΣΙΩΤΟΥ </t>
  </si>
  <si>
    <t>ΑΖ359546</t>
  </si>
  <si>
    <t>ΤΣΑΜΗ</t>
  </si>
  <si>
    <t>Ρ776466</t>
  </si>
  <si>
    <t>ΧΑΛΚΙΔΟΥ</t>
  </si>
  <si>
    <t>ΑΝΑΣΤΑΣΙΑ-ΑΝΑΗΣ</t>
  </si>
  <si>
    <t>ΑΗ318471</t>
  </si>
  <si>
    <t>ΜΠΑΖΩΤΗ</t>
  </si>
  <si>
    <t>ΑΖ489947</t>
  </si>
  <si>
    <t>ΠΑΣΣΙΑ</t>
  </si>
  <si>
    <t>ΑΒ317980</t>
  </si>
  <si>
    <t>ΑΖ650442</t>
  </si>
  <si>
    <t>ΠΑΠΟΥΤΣΟΓΛΟΥ</t>
  </si>
  <si>
    <t>ΑΚ122949</t>
  </si>
  <si>
    <t>ΜΟΣΚΟΠΟΥΛΟΥ</t>
  </si>
  <si>
    <t>ΖΗΝΟΒΙΑ-ΣΑΜΠΡΙΝΑ</t>
  </si>
  <si>
    <t>ΑΖ254797</t>
  </si>
  <si>
    <t>ΠΑΠΑΣΤΡΑΤΑΚΗ</t>
  </si>
  <si>
    <t>ΑΕ399320</t>
  </si>
  <si>
    <t>Κοκολη</t>
  </si>
  <si>
    <t>Ευδοκια</t>
  </si>
  <si>
    <t>Γεωργιος</t>
  </si>
  <si>
    <t>Σ737232</t>
  </si>
  <si>
    <t>ΑΛΕΞΟΠΟΥΛΟΥ</t>
  </si>
  <si>
    <t>ΙΩΑΝΝΑ ΞΑΚΟΥΣΤΗ</t>
  </si>
  <si>
    <t>ΑΜ314261</t>
  </si>
  <si>
    <t>ΔΡΙΒΗΛΑ</t>
  </si>
  <si>
    <t>ΑΒ385049</t>
  </si>
  <si>
    <t>ΚΟΥΤΣΩΝΗ</t>
  </si>
  <si>
    <t>ΡΟΥΣΑΝΝΑ</t>
  </si>
  <si>
    <t>Τ353847</t>
  </si>
  <si>
    <t>ΣΑΟΥΛΗ</t>
  </si>
  <si>
    <t>ΦΩΤΑΓΓΕΛΟΣ</t>
  </si>
  <si>
    <t>ΑΒ070826</t>
  </si>
  <si>
    <t>ΔΑΡΔΑΜΑΝΗΣ</t>
  </si>
  <si>
    <t>ΑΖ749553</t>
  </si>
  <si>
    <t>ΑΜ858234</t>
  </si>
  <si>
    <t>ΔΟΥΙΤΣΗ</t>
  </si>
  <si>
    <t>ΑΗ800314</t>
  </si>
  <si>
    <t>ΒΟΣΙΝΑΚΗ</t>
  </si>
  <si>
    <t>Π933142</t>
  </si>
  <si>
    <t>ΚΕΜΕΚΕΝΙΔΟΥ</t>
  </si>
  <si>
    <t>ΑΕ760075</t>
  </si>
  <si>
    <t>ΣΑΒΒΟΥΛΙΔΟΥ</t>
  </si>
  <si>
    <t>ΑΝ822939</t>
  </si>
  <si>
    <t>ΑΟ042444</t>
  </si>
  <si>
    <t>ΚΟΥΡΟΥΒΑΣΙΛΗ</t>
  </si>
  <si>
    <t>ΑΗ124586</t>
  </si>
  <si>
    <t>ΜΟΥΣΙΟΥ</t>
  </si>
  <si>
    <t>ΔΩΡΟΘΕΑ</t>
  </si>
  <si>
    <t>ΑΗ268467</t>
  </si>
  <si>
    <t>ΑΙ338044</t>
  </si>
  <si>
    <t>ΤΣΑΓΚΑΡΑΚΗ</t>
  </si>
  <si>
    <t>ΝΕΣΤΟΡΑΣ</t>
  </si>
  <si>
    <t>ΑΕ391443</t>
  </si>
  <si>
    <t>ΖΑΡΧΑΝΗ</t>
  </si>
  <si>
    <t>ΑΒ854546</t>
  </si>
  <si>
    <t>ΒΑΣΣΙΟΥ</t>
  </si>
  <si>
    <t>ΑΙ813820</t>
  </si>
  <si>
    <t>ΚΥΡΙΑΚΑΚΗ</t>
  </si>
  <si>
    <t>ΑΒ182922</t>
  </si>
  <si>
    <t>ΔΗΜΟΤΣΙΟΥ</t>
  </si>
  <si>
    <t>ΑΖ883821</t>
  </si>
  <si>
    <t>ΚΑΝΑΚΗ</t>
  </si>
  <si>
    <t>ΚΑΝΑΚΗΣ</t>
  </si>
  <si>
    <t>Ρ496907</t>
  </si>
  <si>
    <t>ΜΙΜΙΚΟΣ</t>
  </si>
  <si>
    <t>ΑΝΑΣΤΑΣΙΟΣ ΜΑΡΙΝΟΣ</t>
  </si>
  <si>
    <t>ΑΗ872352</t>
  </si>
  <si>
    <t>ΞΥΠΟΛΥΤΟΥ</t>
  </si>
  <si>
    <t>ΑΖ532406</t>
  </si>
  <si>
    <t>ΝΑΖΑΪ</t>
  </si>
  <si>
    <t>ΕΝΙΝΤΑ</t>
  </si>
  <si>
    <t>ΖΑΧΟ</t>
  </si>
  <si>
    <t>ΑΝ334111</t>
  </si>
  <si>
    <t>ΑΝΤΩΝΑΚΟΥ</t>
  </si>
  <si>
    <t>ΑΙ803000</t>
  </si>
  <si>
    <t>ΒΑΛΙΑΚΑ</t>
  </si>
  <si>
    <t>ΑΖ792040</t>
  </si>
  <si>
    <t>ΑΜ728819</t>
  </si>
  <si>
    <t>ΠΛΙΑΚΑ</t>
  </si>
  <si>
    <t>ΑΙ290999</t>
  </si>
  <si>
    <t>ΜΑΡΙΑΝΝΑ</t>
  </si>
  <si>
    <t>ΑΗ214883</t>
  </si>
  <si>
    <t>ΒΥΤΙΝΙΩΤΗ</t>
  </si>
  <si>
    <t>ΑΒ009676</t>
  </si>
  <si>
    <t>ΜΠΟΥΓΛΟΥ</t>
  </si>
  <si>
    <t>ΑΖ634393</t>
  </si>
  <si>
    <t>ΝΤΕΛΗ</t>
  </si>
  <si>
    <t>ΑΑ427023</t>
  </si>
  <si>
    <t>ΤΡΙΑΝΤΑΦΥΛΛΟΥ</t>
  </si>
  <si>
    <t>ΦΛΩΡΑ ΜΑΡΙΑ</t>
  </si>
  <si>
    <t>Π900572</t>
  </si>
  <si>
    <t>ΚΑΡΑΜΙΝΤΖΙΟΥ</t>
  </si>
  <si>
    <t>Χ759996</t>
  </si>
  <si>
    <t>ΠΑΛΙΟΥΔΑΚΗ</t>
  </si>
  <si>
    <t>Φ351692</t>
  </si>
  <si>
    <t>ΚΟΚΟΛΑ</t>
  </si>
  <si>
    <t>ΑΝ694329</t>
  </si>
  <si>
    <t>ΤΑΣΙΟΠΟΥΛΟΥ</t>
  </si>
  <si>
    <t>ΤΡΙΑΝΤΑΦ</t>
  </si>
  <si>
    <t>Ρ892621</t>
  </si>
  <si>
    <t>ΑΕ111439</t>
  </si>
  <si>
    <t>ΑΕ438863</t>
  </si>
  <si>
    <t>ΣΑΠΡΑΝΙΔΟΥ</t>
  </si>
  <si>
    <t>Ρ193866</t>
  </si>
  <si>
    <t>EYTYXIA</t>
  </si>
  <si>
    <t>ΑΙ227183</t>
  </si>
  <si>
    <t>ΜΠΟΥΦΙΔΗ</t>
  </si>
  <si>
    <t>ΑΙ533383</t>
  </si>
  <si>
    <t>ΜΠΡΑΕΣΣΑ</t>
  </si>
  <si>
    <t>ΑΚ101702</t>
  </si>
  <si>
    <t>ΚΟΥΦΑΚΗ</t>
  </si>
  <si>
    <t>ΜΥΡΣΙΝΗ</t>
  </si>
  <si>
    <t>ΑΕ933887</t>
  </si>
  <si>
    <t>ΜΑΡΙΑ-ΑΝΝΑ-ΡΑΦΑΕΛΑ</t>
  </si>
  <si>
    <t>Χ406282</t>
  </si>
  <si>
    <t>ΑΗ212271</t>
  </si>
  <si>
    <t>ΕΥΚΟΛΙΔΟΥ</t>
  </si>
  <si>
    <t>ΑΗ291382</t>
  </si>
  <si>
    <t>ΦΑΦΟΥΤΗ</t>
  </si>
  <si>
    <t>ΑΝ497176</t>
  </si>
  <si>
    <t>ΚΥΡΙΑΚΟΠΟΥΛΟΥ</t>
  </si>
  <si>
    <t>ΑΒ751628</t>
  </si>
  <si>
    <t>ΘΕΟΛΟΓΟΥ</t>
  </si>
  <si>
    <t>ΑΚ286221</t>
  </si>
  <si>
    <t>ΑΒ824763</t>
  </si>
  <si>
    <t>ΡΕΒΕΛΟΥ</t>
  </si>
  <si>
    <t>Χ334324</t>
  </si>
  <si>
    <t>ΣΑΡΡΙΔΟΥ</t>
  </si>
  <si>
    <t>ΚΥΡΙΛΛΟΣ</t>
  </si>
  <si>
    <t>ΑΕ891873</t>
  </si>
  <si>
    <t>ΧΑΜΑΛΑΚΗ</t>
  </si>
  <si>
    <t>ΑΗ962571</t>
  </si>
  <si>
    <t>ΡΙΒΑ</t>
  </si>
  <si>
    <t>ΑΖ795813</t>
  </si>
  <si>
    <t>ΝΑΚΟΥ</t>
  </si>
  <si>
    <t>ΑΒ087890</t>
  </si>
  <si>
    <t>ΣΚΟΡΔΑΚΗΣ</t>
  </si>
  <si>
    <t>ΑΕ844450</t>
  </si>
  <si>
    <t>ΜΠΙΝΙΑΡΗ</t>
  </si>
  <si>
    <t>ΑΒ264736</t>
  </si>
  <si>
    <t>ΞΥΣΤΡΑ</t>
  </si>
  <si>
    <t>Τ853275</t>
  </si>
  <si>
    <t>ΑΚ729268</t>
  </si>
  <si>
    <t>ΠΑΡΟΥΣΗ</t>
  </si>
  <si>
    <t>Τ465880</t>
  </si>
  <si>
    <t>ΝΕΡΑΝΤΖΙΑ</t>
  </si>
  <si>
    <t>ΠΛΟΥΤΑΡΧΟΣ</t>
  </si>
  <si>
    <t>Χ965134</t>
  </si>
  <si>
    <t>ΧΑΤΖΟΠΟΥΛΟΥ</t>
  </si>
  <si>
    <t>Χ125905</t>
  </si>
  <si>
    <t>ΚΟΤΣΗ</t>
  </si>
  <si>
    <t>ΠΑΝΤΕΛΗ</t>
  </si>
  <si>
    <t>ΑΜ595413</t>
  </si>
  <si>
    <t>Α0468312</t>
  </si>
  <si>
    <t>ΡΟΥΣΣΟΥ</t>
  </si>
  <si>
    <t>ΑΙ777797</t>
  </si>
  <si>
    <t>ΜΠΙΤΣΑΝΗ</t>
  </si>
  <si>
    <t>ΔΗΜΗΤΡΑ ΕΙΡΗΝΗ</t>
  </si>
  <si>
    <t>Χ958195</t>
  </si>
  <si>
    <t>ΦΙΛΕΛΕ ΠΑΠΑΔΟΠΟΥΛΟΥ</t>
  </si>
  <si>
    <t>Χ716725</t>
  </si>
  <si>
    <t>ΑΝ384953</t>
  </si>
  <si>
    <t>ΝΑΥΡΟΖΟΓΛΟΥ</t>
  </si>
  <si>
    <t>ΑΚ384895</t>
  </si>
  <si>
    <t>ΚΑΤΣΙΓΙΑΝΝΗ</t>
  </si>
  <si>
    <t>ΑΙ072442</t>
  </si>
  <si>
    <t>ΚΑΛΑΝΤΖΗ</t>
  </si>
  <si>
    <t>Π851127</t>
  </si>
  <si>
    <t>ΠΑΠΑΛΑΝΗ</t>
  </si>
  <si>
    <t>ΒΑΣΙΛΙΚΗ ΜΑΡΙΑ</t>
  </si>
  <si>
    <t>Χ418526</t>
  </si>
  <si>
    <t>ΒΕΛΩΝΗ</t>
  </si>
  <si>
    <t>ΑΗ019505</t>
  </si>
  <si>
    <t>Χ487254</t>
  </si>
  <si>
    <t>ΚΑΡΔΑΚΟΥ</t>
  </si>
  <si>
    <t>ΑΙ352961</t>
  </si>
  <si>
    <t>ΜΠΙΤΣΙΛΗ</t>
  </si>
  <si>
    <t>ΑΖ190828</t>
  </si>
  <si>
    <t>ΠΥΛΩΡΙΔΟΥ</t>
  </si>
  <si>
    <t>ΑΚ307199</t>
  </si>
  <si>
    <t>ΑΚ916768</t>
  </si>
  <si>
    <t>ΞΕΝΑΚΗ</t>
  </si>
  <si>
    <t>ΑΝ561824</t>
  </si>
  <si>
    <t>ΞΥΓΙΝΤΖΗ</t>
  </si>
  <si>
    <t>ΑΗ888306</t>
  </si>
  <si>
    <t>ΠΑΝΤΑΖΗ</t>
  </si>
  <si>
    <t>ΑΗ989685</t>
  </si>
  <si>
    <t xml:space="preserve">ΤΣΙΡΟΓΙΑΝΝΗ </t>
  </si>
  <si>
    <t xml:space="preserve">ΓΕΩΡΓΙΟΣ </t>
  </si>
  <si>
    <t>ΑΖ504375</t>
  </si>
  <si>
    <t>ΜΙΣΧΟΥ</t>
  </si>
  <si>
    <t>ΑΝ720758</t>
  </si>
  <si>
    <t>ΜΑΓΚΑΝΙΑΡΗ</t>
  </si>
  <si>
    <t>ΑΑ246183</t>
  </si>
  <si>
    <t>ΑΠΟΣΤΟΛΟΠΟΥΛΟΥ</t>
  </si>
  <si>
    <t>ΑΖ579584</t>
  </si>
  <si>
    <t>ΣΟΦΙΑ ΕΙΡΗΝΗ</t>
  </si>
  <si>
    <t>ΑΜ972516</t>
  </si>
  <si>
    <t>ΛΙΝΤΖΕΡΗ</t>
  </si>
  <si>
    <t>ΑΖ393305</t>
  </si>
  <si>
    <t>Χ522114</t>
  </si>
  <si>
    <t>ΜΠΟΥΖΙΟΥ</t>
  </si>
  <si>
    <t>ΛΥΚΟΥΡΓΟΣ</t>
  </si>
  <si>
    <t>ΑΚ371162</t>
  </si>
  <si>
    <t>ΚΥΡΙΑΖΟΠΟΥΛΟΥ</t>
  </si>
  <si>
    <t>ΑΓΝΗ</t>
  </si>
  <si>
    <t>Χ880344</t>
  </si>
  <si>
    <t>ΕΥΑΓΓΕΛΙΝΑΚΗ</t>
  </si>
  <si>
    <t>Σ420044</t>
  </si>
  <si>
    <t>ΒΕΛΙΚΗ</t>
  </si>
  <si>
    <t>ΑΙ721404</t>
  </si>
  <si>
    <t>ΑΝ889990</t>
  </si>
  <si>
    <t>ΜΑΓΚΟΥΤΗ</t>
  </si>
  <si>
    <t>ΑΒ566064</t>
  </si>
  <si>
    <t>ΨΥΛΛΙΔΟΥ</t>
  </si>
  <si>
    <t>Χ371342</t>
  </si>
  <si>
    <t>ΜΑΝΩΛΑΚΗ</t>
  </si>
  <si>
    <t>Ν989338</t>
  </si>
  <si>
    <t>ΤΣΑΚΕΛΙΔΟΥ</t>
  </si>
  <si>
    <t>Ρ876137</t>
  </si>
  <si>
    <t>ΚΑΡΑΣΤΑΤΗΡΑ</t>
  </si>
  <si>
    <t>ΜΙΡΑΝΤΑ</t>
  </si>
  <si>
    <t>_ΑΙ094392</t>
  </si>
  <si>
    <t>ΠΡΟΚΟΠΙΟΣ</t>
  </si>
  <si>
    <t>ΑΖ655531</t>
  </si>
  <si>
    <t>ΚΑΡΑΜΟΥΖΑ</t>
  </si>
  <si>
    <t>ΑΚ424527</t>
  </si>
  <si>
    <t>ΑΡΣΕΝΟΥΔΗ</t>
  </si>
  <si>
    <t>ΑΙ388475</t>
  </si>
  <si>
    <t>ΚΟΥΡΤΙΔΟΥ</t>
  </si>
  <si>
    <t>ΕΥΡΙΠΙΔΗΣ</t>
  </si>
  <si>
    <t>ΑΗ912569</t>
  </si>
  <si>
    <t>ΑΗ264499</t>
  </si>
  <si>
    <t>ΣΠΑΝΟΠΟΥΛΟΥ</t>
  </si>
  <si>
    <t>ΑΝ590989</t>
  </si>
  <si>
    <t>ΣΤΑΜΑΤΑΚΟΥ</t>
  </si>
  <si>
    <t>Ρ383774</t>
  </si>
  <si>
    <t>ΘΕΟΔΩΡΙΔΟΥ</t>
  </si>
  <si>
    <t>ΑΖ873067</t>
  </si>
  <si>
    <t>ΤΑΓΚΑΡΕΛΗ</t>
  </si>
  <si>
    <t>ΑΒ410444</t>
  </si>
  <si>
    <t>ΑΛΜΕΤΙΔΟΥ</t>
  </si>
  <si>
    <t>ΑΕ916369</t>
  </si>
  <si>
    <t>ΕΜΜΑΝΟΥΗΛΙΔΟΥ</t>
  </si>
  <si>
    <t>ΑΝ760444</t>
  </si>
  <si>
    <t>ΓΑΛΟΓΑΥΡΟΥ</t>
  </si>
  <si>
    <t>ΑΖ787716</t>
  </si>
  <si>
    <t>ΠΑΛΛΑ</t>
  </si>
  <si>
    <t>ΑΜ632538</t>
  </si>
  <si>
    <t>ΚΙΤΣΩΝΗ</t>
  </si>
  <si>
    <t>Σ877534</t>
  </si>
  <si>
    <t>ΠΕΡΟΥ</t>
  </si>
  <si>
    <t>Φ317989</t>
  </si>
  <si>
    <t>Μεξα</t>
  </si>
  <si>
    <t>Αγγελικη Δημητρα</t>
  </si>
  <si>
    <t>Αναστασιος</t>
  </si>
  <si>
    <t>ΑΗ755858</t>
  </si>
  <si>
    <t>ΑΝ830599</t>
  </si>
  <si>
    <t>ΖΩΓΡΑΦΟΥ-ΑΘΑΝΑΣΑΚΗ</t>
  </si>
  <si>
    <t>ΑΖ772255</t>
  </si>
  <si>
    <t>ΑΡΣΕΝΙΟΥ</t>
  </si>
  <si>
    <t>ΑΚ408269</t>
  </si>
  <si>
    <t>ΒΑΤΟΥ</t>
  </si>
  <si>
    <t>ΑΕ216144</t>
  </si>
  <si>
    <t>ΤΣΑΠΟΥ</t>
  </si>
  <si>
    <t>ΑΖ296620</t>
  </si>
  <si>
    <t>ΜΑΝΤΖΙΩΚΑ</t>
  </si>
  <si>
    <t>ΚΥΠΑΡΙΣΣΙΑ</t>
  </si>
  <si>
    <t>ΑΙ286903</t>
  </si>
  <si>
    <t>ΑΑ232900</t>
  </si>
  <si>
    <t>ΠΟΣΙΝΑΚΙΔΟΥ</t>
  </si>
  <si>
    <t>ΑΑ412085</t>
  </si>
  <si>
    <t>ΤΣΩΚΟΥ</t>
  </si>
  <si>
    <t>ΑΝ729814</t>
  </si>
  <si>
    <t>ΜΠΕΚΟΥ</t>
  </si>
  <si>
    <t>ΑΒ319929</t>
  </si>
  <si>
    <t>Χαλιλοπουλου</t>
  </si>
  <si>
    <t>Στεφανια</t>
  </si>
  <si>
    <t>Σπυριδων</t>
  </si>
  <si>
    <t>ΑΒ415104</t>
  </si>
  <si>
    <t>ΑΗ707751</t>
  </si>
  <si>
    <t>ΠΑΠΑΓΙΑΝΝΗ</t>
  </si>
  <si>
    <t>Φ017197</t>
  </si>
  <si>
    <t>ΜΑΡΓΙΩΡΗ</t>
  </si>
  <si>
    <t>ΑΜ935475</t>
  </si>
  <si>
    <t>ΚΕΡΑΣΙΝΗ</t>
  </si>
  <si>
    <t>Χ991579</t>
  </si>
  <si>
    <t xml:space="preserve">ΣΤΥΛΙΑΝΗ </t>
  </si>
  <si>
    <t xml:space="preserve">ΚΩΝΣΤΑΝΤΙΝΟΣ </t>
  </si>
  <si>
    <t>ΑΜ453928</t>
  </si>
  <si>
    <t>ΚΟΚΑΚΗ</t>
  </si>
  <si>
    <t>ΑΑ494607</t>
  </si>
  <si>
    <t>ΖΥΓΟΥΡΗ</t>
  </si>
  <si>
    <t>ΑΚ408720</t>
  </si>
  <si>
    <t>Βασιλοπούλου</t>
  </si>
  <si>
    <t>Θεοδώρα</t>
  </si>
  <si>
    <t>Κωνσταντίνος</t>
  </si>
  <si>
    <t>Ρ098031</t>
  </si>
  <si>
    <t>ΖΩΓΟΠΟΥΛΟΥ</t>
  </si>
  <si>
    <t>ΑΙ575927</t>
  </si>
  <si>
    <t>ΣΑΠΑΝΗ</t>
  </si>
  <si>
    <t>ΑΚ064696</t>
  </si>
  <si>
    <t>ΜΠΟΖΗ</t>
  </si>
  <si>
    <t>ΑΖ409873</t>
  </si>
  <si>
    <t>ΜΙΧΑΗΛΙΔΗ</t>
  </si>
  <si>
    <t>ΑΗ209948</t>
  </si>
  <si>
    <t>ΜΠΙΝΗ</t>
  </si>
  <si>
    <t>ΜΑΡΙΑ ΣΤΥΛΙΑΝΗ</t>
  </si>
  <si>
    <t>ΑΜ110394</t>
  </si>
  <si>
    <t>ΠΑΠΑΖΩΗ</t>
  </si>
  <si>
    <t>ΑΒ794357</t>
  </si>
  <si>
    <t>ΤΕΡΖΗ</t>
  </si>
  <si>
    <t>Χ438773</t>
  </si>
  <si>
    <t>ΚΡΑΤΗΜΕΝΟΥ</t>
  </si>
  <si>
    <t>ΑΖ077763</t>
  </si>
  <si>
    <t>ΜΠΟΥΚΟΥ</t>
  </si>
  <si>
    <t>ΑΗ792517</t>
  </si>
  <si>
    <t>ΛΑΓΩΝΙΚΑΚΗ</t>
  </si>
  <si>
    <t>ΒΑΣΙΛΙΚΗ ΤΡΙΑΝΤΑΦΥΛΛΙΑ</t>
  </si>
  <si>
    <t>ΑΜ156722</t>
  </si>
  <si>
    <t>ΣΤΑΜΟΥ</t>
  </si>
  <si>
    <t>ΟΡΣΑΛΙΑ</t>
  </si>
  <si>
    <t>ΑΕ486045</t>
  </si>
  <si>
    <t>ΚΟΥΤΡΟΥΜΠΗ</t>
  </si>
  <si>
    <t>ΒΑΣΙΛ</t>
  </si>
  <si>
    <t>ΑΕ747908</t>
  </si>
  <si>
    <t>ΧΡΥΣΑΓΗ</t>
  </si>
  <si>
    <t>ΑΙ485652</t>
  </si>
  <si>
    <t>ΤΣΑΝΑΚΛΙΔΟΥ</t>
  </si>
  <si>
    <t>ΡΑΦΑΕΛΑ</t>
  </si>
  <si>
    <t>ΑΕ830372</t>
  </si>
  <si>
    <t>Χ176803</t>
  </si>
  <si>
    <t>ΜΟΥΤΑΦΙΔΟΥ</t>
  </si>
  <si>
    <t>ΑΥΓΗ</t>
  </si>
  <si>
    <t>Τ448794</t>
  </si>
  <si>
    <t>ΚΑΛΟΓΡΑΙΑΚΗ</t>
  </si>
  <si>
    <t>ΑΙ908008</t>
  </si>
  <si>
    <t>ΔΟΥΚΑ</t>
  </si>
  <si>
    <t>Π900390</t>
  </si>
  <si>
    <t>ΝΙΓΔΕΛΙΔΟΥ</t>
  </si>
  <si>
    <t>ΑΖ873984</t>
  </si>
  <si>
    <t>ΤΖΙΑΜΠΑΖΗ</t>
  </si>
  <si>
    <t>ΑΑ231160</t>
  </si>
  <si>
    <t>ΣΙΔΕΡΗ</t>
  </si>
  <si>
    <t>ΑΑ304753</t>
  </si>
  <si>
    <t>ΚΙΟΥΛΤΖΙΔΟΥ</t>
  </si>
  <si>
    <t>ΑΕ654401</t>
  </si>
  <si>
    <t>ΘΕΟΥ</t>
  </si>
  <si>
    <t>ΑΚ845779</t>
  </si>
  <si>
    <t>ΑΕ818247</t>
  </si>
  <si>
    <t>ΓΚΕΝΩΣΗ</t>
  </si>
  <si>
    <t>ΑΗ060087</t>
  </si>
  <si>
    <t>ΤΖΑΒΑΛΗ</t>
  </si>
  <si>
    <t>Χ489917</t>
  </si>
  <si>
    <t>ΑΚ933160</t>
  </si>
  <si>
    <t>ΠΡΟΣΙΛΗ</t>
  </si>
  <si>
    <t>ΑΒ796950</t>
  </si>
  <si>
    <t>ΣΙΑΡΑΜΠΗ</t>
  </si>
  <si>
    <t>Χ865056</t>
  </si>
  <si>
    <t>ΑΒ831109</t>
  </si>
  <si>
    <t>ΛΙΑΤΣΟΥ</t>
  </si>
  <si>
    <t>ΑΗ102827</t>
  </si>
  <si>
    <t>ΜΟΥΤΛΑ</t>
  </si>
  <si>
    <t>ΑΙ375085</t>
  </si>
  <si>
    <t>ΑΗ009259</t>
  </si>
  <si>
    <t>ΙΣΑΜΠΑΛΟΓΛΟΥ</t>
  </si>
  <si>
    <t>ΑΕ104493</t>
  </si>
  <si>
    <t>ΜΠΑΛΗ</t>
  </si>
  <si>
    <t>ΑΕ979945</t>
  </si>
  <si>
    <t>ΜΑΓΚΑΦΑ</t>
  </si>
  <si>
    <t>ΑΕ717099</t>
  </si>
  <si>
    <t>Χ641523</t>
  </si>
  <si>
    <t>ΚΑΤΡΙΤΖΙΔΑΚΗ</t>
  </si>
  <si>
    <t>Ρ131379</t>
  </si>
  <si>
    <t>ΑΙ833830</t>
  </si>
  <si>
    <t>ΣΤΥΛΙΑΝΟΥ</t>
  </si>
  <si>
    <t>Χ406297</t>
  </si>
  <si>
    <t>ΑΚ423586</t>
  </si>
  <si>
    <t>ΣΤΑΜΑΤΟΥΚΟΥ</t>
  </si>
  <si>
    <t>Χ327072</t>
  </si>
  <si>
    <t>ΡΕΤΣΙΝΑ</t>
  </si>
  <si>
    <t>ΦΡΙΞΟΥΛΑ-ΔΗΜΗΤΡΑ</t>
  </si>
  <si>
    <t>ΑΒ337317</t>
  </si>
  <si>
    <t>ΜΠΑΚΑΛΙΔΟΥ</t>
  </si>
  <si>
    <t xml:space="preserve">ΕΙΡΉΝΗ </t>
  </si>
  <si>
    <t>ΑΑ869754</t>
  </si>
  <si>
    <t>ΛΑΔΟΠΟΥΛΟΥ</t>
  </si>
  <si>
    <t>ΔΕΣΠΟΙΝΑ ΕΥΑΓΓΕΛΙΑ</t>
  </si>
  <si>
    <t>ΑΗ763044</t>
  </si>
  <si>
    <t>ΔΕΜΕΣΤΙΧΑ</t>
  </si>
  <si>
    <t>ΑΒ344996</t>
  </si>
  <si>
    <t>ΚΙΟΥΡΤΑΚΗ</t>
  </si>
  <si>
    <t>ΠΑΣΧΑΛΙΑ</t>
  </si>
  <si>
    <t>Χ476965</t>
  </si>
  <si>
    <t>ΔΕΛΗΑΝΔΡΕΑΔΟΥ</t>
  </si>
  <si>
    <t>ΠΟΛΥΜΝΙΑ</t>
  </si>
  <si>
    <t>ΑΜ674305</t>
  </si>
  <si>
    <t>ΜΑΝΩΛΗΣ</t>
  </si>
  <si>
    <t>ΑΜ091960</t>
  </si>
  <si>
    <t>Σ378042</t>
  </si>
  <si>
    <t>ΣΚΑΦΙΔΑΣ</t>
  </si>
  <si>
    <t>Φ086958</t>
  </si>
  <si>
    <t>Παπαδακη</t>
  </si>
  <si>
    <t>Θαλεια Αγγελικη</t>
  </si>
  <si>
    <t>Ανδρεας</t>
  </si>
  <si>
    <t>ΑΝ576307</t>
  </si>
  <si>
    <t>ΚΑΡΒΕΛΑ</t>
  </si>
  <si>
    <t>Σ397288</t>
  </si>
  <si>
    <t>ΣΚΟΤΙΔΑ</t>
  </si>
  <si>
    <t>ΑΜ067151</t>
  </si>
  <si>
    <t>ΜΠΑΜΠΟΥΝΗ</t>
  </si>
  <si>
    <t>ΑΚ347506</t>
  </si>
  <si>
    <t>ΜΟΥΡΟΥΤΗ</t>
  </si>
  <si>
    <t>ΑΑ319369</t>
  </si>
  <si>
    <t>ΜΟΥΤΣΙΟΥΝΑ</t>
  </si>
  <si>
    <t xml:space="preserve">ΠΑΡΑΣΚΕΥΗ </t>
  </si>
  <si>
    <t>ΑΖ294799</t>
  </si>
  <si>
    <t>ΔΟΥΒΡΟΠΟΥΛΟΥ</t>
  </si>
  <si>
    <t>ΑΝΑΡΓΥΡΟΥΛΑ</t>
  </si>
  <si>
    <t>ΑΕ749998</t>
  </si>
  <si>
    <t>ΧΑΣΙΟΥΡΑ</t>
  </si>
  <si>
    <t>ΑΚ439708</t>
  </si>
  <si>
    <t>ΣΤΑΜΑΤΟΠΟΥΛΟΥ</t>
  </si>
  <si>
    <t>ΜΑΡΙΑ ΤΡΙΣΕΥΓΕΝΗ</t>
  </si>
  <si>
    <t>ΑΗ080334</t>
  </si>
  <si>
    <t>ΓΚΟΥΝΤΟΥΡΑ</t>
  </si>
  <si>
    <t>ΑΚ966971</t>
  </si>
  <si>
    <t>ΤΣΙΧΛΙΑ</t>
  </si>
  <si>
    <t>Ρ815150</t>
  </si>
  <si>
    <t>ΑΛΒΑΝΟΥ</t>
  </si>
  <si>
    <t>ΑΝ355621</t>
  </si>
  <si>
    <t>ΠΑΓΩΝΗ</t>
  </si>
  <si>
    <t>ΑΡΙΑΔΝΗ</t>
  </si>
  <si>
    <t>Ξ147386</t>
  </si>
  <si>
    <t>Τσιουρβα</t>
  </si>
  <si>
    <t>Στυλιανη</t>
  </si>
  <si>
    <t>Σωτηριος</t>
  </si>
  <si>
    <t>Ξ708208</t>
  </si>
  <si>
    <t>ΑΟ304834</t>
  </si>
  <si>
    <t>ΜΟΥΡΑΤΙΔΟΥ</t>
  </si>
  <si>
    <t>ΑΝ351932</t>
  </si>
  <si>
    <t>ΒΟΡΝΙΩΤΑΚΗ</t>
  </si>
  <si>
    <t>Χ352496</t>
  </si>
  <si>
    <t>ΚΕΛΙΔΟΥ</t>
  </si>
  <si>
    <t>ΑΗ192906</t>
  </si>
  <si>
    <t>ΤΣΕΒΟΛΑ</t>
  </si>
  <si>
    <t>ΛΙΛΙΑ</t>
  </si>
  <si>
    <t>ΕΥΓΕΝΙ</t>
  </si>
  <si>
    <t>ΑΜ583220</t>
  </si>
  <si>
    <t>ΚΛΕΙΔΑ</t>
  </si>
  <si>
    <t>ΑΝ017846</t>
  </si>
  <si>
    <t>ΖΑΚΑΙΟΥ</t>
  </si>
  <si>
    <t>ΜΑΡΙΖΗΝΑ</t>
  </si>
  <si>
    <t>ΑΖ443324</t>
  </si>
  <si>
    <t>ΠΑΝΤΕΛΙΔΟΥ</t>
  </si>
  <si>
    <t>ΑΜ719312</t>
  </si>
  <si>
    <t>Χ878099</t>
  </si>
  <si>
    <t>Χ378161</t>
  </si>
  <si>
    <t>ΘΥΜΑΚΗ</t>
  </si>
  <si>
    <t>ΑΑ491962</t>
  </si>
  <si>
    <t>ΓΙΑΡΕΝΗ</t>
  </si>
  <si>
    <t>ΑΗ415768</t>
  </si>
  <si>
    <t>ΤΟΓΙΑ</t>
  </si>
  <si>
    <t>ΑΑ325506</t>
  </si>
  <si>
    <t>ΓΚΕΖΕΡΗ</t>
  </si>
  <si>
    <t>ΑΗ244970</t>
  </si>
  <si>
    <t>ΝΤΕΡΟΥ</t>
  </si>
  <si>
    <t>Ρ870956</t>
  </si>
  <si>
    <t>ΚΟΥΒΕΛΗ</t>
  </si>
  <si>
    <t>Χ234542</t>
  </si>
  <si>
    <t>ΠΑΝΟΥ</t>
  </si>
  <si>
    <t>ΑΕ3739730</t>
  </si>
  <si>
    <t>ΙΠΠΙΩΤΗ</t>
  </si>
  <si>
    <t>ΤΑΞΙΑΡΧΟΥΛΑ</t>
  </si>
  <si>
    <t>ΑΙ653423</t>
  </si>
  <si>
    <t>ΓΡΑΨΑ</t>
  </si>
  <si>
    <t>ΑΚΡΙΒΟΥΛΑ</t>
  </si>
  <si>
    <t>Ν802530</t>
  </si>
  <si>
    <t>ΠΑΤΣΕΑ</t>
  </si>
  <si>
    <t>ΑΕ247094</t>
  </si>
  <si>
    <t>ΚΑΜΠΙΤΑΚΗ</t>
  </si>
  <si>
    <t>Σ424759</t>
  </si>
  <si>
    <t>ΜΠΑΝΑΒΑ</t>
  </si>
  <si>
    <t>ΑΙ361682</t>
  </si>
  <si>
    <t>ΔΙΑΜΑΝΤΑΚΕΡΗ</t>
  </si>
  <si>
    <t>Χ298934</t>
  </si>
  <si>
    <t>ΚΕΛΕΠΟΥΡΗ</t>
  </si>
  <si>
    <t>ΑΑ306296</t>
  </si>
  <si>
    <t>ΣΤΑΜΕΝΙΤΟΥ</t>
  </si>
  <si>
    <t>ΑΒ115921</t>
  </si>
  <si>
    <t>ΚΟΝΙΑΡΗ</t>
  </si>
  <si>
    <t>Ρ395883</t>
  </si>
  <si>
    <t>ΠΛΑΚΑ</t>
  </si>
  <si>
    <t>ΑΡΓΥΡΙΟΣ</t>
  </si>
  <si>
    <t>Τ377267</t>
  </si>
  <si>
    <t>Χ040856</t>
  </si>
  <si>
    <t>ΚΟΝΟΜΗ</t>
  </si>
  <si>
    <t>ΚΡΙΣ</t>
  </si>
  <si>
    <t>ΣΤΕΦΑΝ</t>
  </si>
  <si>
    <t>ΑΝ106081</t>
  </si>
  <si>
    <t>ΚΑΝΔΡΕΒΙΩΤΗ</t>
  </si>
  <si>
    <t>ΑΙ061529</t>
  </si>
  <si>
    <t>ΑΝ750251</t>
  </si>
  <si>
    <t>ΜΠΟΝΟΥ</t>
  </si>
  <si>
    <t>ΑΑ351223</t>
  </si>
  <si>
    <t>ΜΑΝΙΤΣΑ</t>
  </si>
  <si>
    <t>ΑΙ383529</t>
  </si>
  <si>
    <t>ΘΕΟΔΩΡΑΚΟΓΛΟΥ</t>
  </si>
  <si>
    <t>ΑΕ498049</t>
  </si>
  <si>
    <t>ΝΗΡΟΥ</t>
  </si>
  <si>
    <t>ΑΙ144026</t>
  </si>
  <si>
    <t>ΠΑΛΟΥΚΗ</t>
  </si>
  <si>
    <t>ΑΒ115428</t>
  </si>
  <si>
    <t>ΝΑΟΥΜ</t>
  </si>
  <si>
    <t>ΑΖ368416</t>
  </si>
  <si>
    <t>ΓΕΩΡΓΟΥΛΑ</t>
  </si>
  <si>
    <t>ΑΚ723446</t>
  </si>
  <si>
    <t>ΚΑΡΑΔΗΜΑ</t>
  </si>
  <si>
    <t>ΑΚ165010</t>
  </si>
  <si>
    <t>ΜΟΣΧΟΥ</t>
  </si>
  <si>
    <t>ΑΜ761455</t>
  </si>
  <si>
    <t>ΜΑΜΟΥΡΑ</t>
  </si>
  <si>
    <t>ΔΙΑΜΑΝΤΟΥΛΑ</t>
  </si>
  <si>
    <t>ΑΙ856460</t>
  </si>
  <si>
    <t>ΓΚΟΥΒΑ</t>
  </si>
  <si>
    <t>ΚΩΝΣΤΑΝΤΟΥΛΑ</t>
  </si>
  <si>
    <t>ΑΒ773363</t>
  </si>
  <si>
    <t>ΓΚΑΜΠΕΤΑ</t>
  </si>
  <si>
    <t>ΑΜ298622</t>
  </si>
  <si>
    <t>ΠΑΣΧΑΛΙΔΟΥ</t>
  </si>
  <si>
    <t>ΑΖ289191</t>
  </si>
  <si>
    <t>ΜΟΥΡΟΥΝΑ</t>
  </si>
  <si>
    <t>Ξ286304</t>
  </si>
  <si>
    <t>ΖΩΡΑ</t>
  </si>
  <si>
    <t>ΑΝ322319</t>
  </si>
  <si>
    <t>ΑΖ815677</t>
  </si>
  <si>
    <t>ΠΕΠΟΝΑ</t>
  </si>
  <si>
    <t>ΑΜ195586</t>
  </si>
  <si>
    <t>ΚΑΝΤΑ</t>
  </si>
  <si>
    <t>ΑΕ278336</t>
  </si>
  <si>
    <t>ΚΑΛΟΓΕΡΟΠΟΥΛΟΥ</t>
  </si>
  <si>
    <t>ΑΕ268206</t>
  </si>
  <si>
    <t>ΓΙΑΝΝΟΥΤΣΟΥ</t>
  </si>
  <si>
    <t>ΑΚ491470</t>
  </si>
  <si>
    <t>ΒΑΣΤΑΡΟΥΧΑ</t>
  </si>
  <si>
    <t>ΑΖ777120</t>
  </si>
  <si>
    <t>ΔΟΥΣΕΜΕΡΤΖΗ</t>
  </si>
  <si>
    <t>Σ353247</t>
  </si>
  <si>
    <t>ΑΣΜΑΝΗ</t>
  </si>
  <si>
    <t>ΠΕΡΣΕΦΟΝΗ-ΒΑΣΙΛΙΚΗ</t>
  </si>
  <si>
    <t>ΣΤΕΛΙΟΣ</t>
  </si>
  <si>
    <t>ΑΖ927562</t>
  </si>
  <si>
    <t>ΑΜ375057</t>
  </si>
  <si>
    <t>ΙΑ</t>
  </si>
  <si>
    <t>ΑΒΤΑΝΤΙΛ</t>
  </si>
  <si>
    <t>ΑΙ971187</t>
  </si>
  <si>
    <t>ΜΑΤΑΝΑ</t>
  </si>
  <si>
    <t>ΑΗ896009</t>
  </si>
  <si>
    <t>ΑΙ777195</t>
  </si>
  <si>
    <t>ΚΑΡΙΠΟΠΟΥΛΟΥ</t>
  </si>
  <si>
    <t>ΑΒ756353</t>
  </si>
  <si>
    <t>ΑΕ253598</t>
  </si>
  <si>
    <t>ΜΑΝΟΥ</t>
  </si>
  <si>
    <t>ΒΑΣΩ</t>
  </si>
  <si>
    <t>Σ886137</t>
  </si>
  <si>
    <t>ΚΙΑΚΟΥ</t>
  </si>
  <si>
    <t>ΠΟΛΥΧΡΟΝΗΣ</t>
  </si>
  <si>
    <t>ΑΖ396939</t>
  </si>
  <si>
    <t>ΤΣΙΓΑΡΑ</t>
  </si>
  <si>
    <t>ΑΑ243900</t>
  </si>
  <si>
    <t>ΤΕΡΖΙΔΟΥ</t>
  </si>
  <si>
    <t>ΑΚ256226</t>
  </si>
  <si>
    <t>ΜΠΟΣΤΑ</t>
  </si>
  <si>
    <t>ΔΙΑΛΕΚΤΗ</t>
  </si>
  <si>
    <t>ΑΒ370629</t>
  </si>
  <si>
    <t>ΑΖ711000</t>
  </si>
  <si>
    <t>ΣΑΚΑΛΗ</t>
  </si>
  <si>
    <t>Ρ720457</t>
  </si>
  <si>
    <t>ΚΟΥΚΟΥΡΙΚΟΥ</t>
  </si>
  <si>
    <t>ΑΖ179802</t>
  </si>
  <si>
    <t>ΣΤΑΥΡΟΥ</t>
  </si>
  <si>
    <t>ΛΥΔΙΑ</t>
  </si>
  <si>
    <t>ΑΗ022281</t>
  </si>
  <si>
    <t>ΣΥΡΑΝΙΔΟΥ</t>
  </si>
  <si>
    <t xml:space="preserve">ΕΥΦΡΟΣΥΝΗ </t>
  </si>
  <si>
    <t>ΑΖ812252</t>
  </si>
  <si>
    <t>ΕΥΘΥΜΟΓΛΟΥ</t>
  </si>
  <si>
    <t>ΑΖ678496</t>
  </si>
  <si>
    <t>ΤΣΟΥΚΑΚΗ</t>
  </si>
  <si>
    <t>ΕΥΛΑΜΠΙΑ</t>
  </si>
  <si>
    <t>ΑΙ094392</t>
  </si>
  <si>
    <t>ΒΑΣΣΗ</t>
  </si>
  <si>
    <t>ΑΕ556136</t>
  </si>
  <si>
    <t>ΣΙΓΚΑ</t>
  </si>
  <si>
    <t>ΑΖ343751</t>
  </si>
  <si>
    <t>ΑΛΕΚΟΓΛΟΥ</t>
  </si>
  <si>
    <t>ΑΗ369957</t>
  </si>
  <si>
    <t>ΚΑΛΑΙΤΣΙΔΟΥ</t>
  </si>
  <si>
    <t>ΑΒ715673</t>
  </si>
  <si>
    <t>ΑΚ956655</t>
  </si>
  <si>
    <t>ΣΚΛΑΒΟΛΙΑ</t>
  </si>
  <si>
    <t>Χ 005889</t>
  </si>
  <si>
    <t>ΣΤΑΜΑΤΑΚΙ</t>
  </si>
  <si>
    <t>ΔΙΑΜΑΝΤΑ</t>
  </si>
  <si>
    <t>ΑΕ468809</t>
  </si>
  <si>
    <t>ΜΠΑΓΟΥΡΔΗ</t>
  </si>
  <si>
    <t>Π399460</t>
  </si>
  <si>
    <t xml:space="preserve">ΕΜΜΑΝΟΥΗΛΙΔΟΥ </t>
  </si>
  <si>
    <t xml:space="preserve">ΖΗΣΗΣ </t>
  </si>
  <si>
    <t>ΑΖ401513</t>
  </si>
  <si>
    <t>ΚΑΚΑΛΗ</t>
  </si>
  <si>
    <t xml:space="preserve">ΧΡΙΣΤΊΝΑ </t>
  </si>
  <si>
    <t>ΑΙ562091</t>
  </si>
  <si>
    <t>ΜΟΣΚΙΟΥ</t>
  </si>
  <si>
    <t>ΑΒ951679</t>
  </si>
  <si>
    <t>ΚΑΤΣΑΠΑΡΑ</t>
  </si>
  <si>
    <t>Π526714</t>
  </si>
  <si>
    <t>ΒΟΥΡΔΟΥΝΗ</t>
  </si>
  <si>
    <t>Τ293763</t>
  </si>
  <si>
    <t>ΜΠΟΚΑ</t>
  </si>
  <si>
    <t>ΑΜ559116</t>
  </si>
  <si>
    <t>ΛΑΜΠΑΚΗ</t>
  </si>
  <si>
    <t>ΑΝ931882</t>
  </si>
  <si>
    <t>ΚΟΛΛΙΟΥ</t>
  </si>
  <si>
    <t>ΑΒ311004</t>
  </si>
  <si>
    <t>ΑΝΑΝΙΑ</t>
  </si>
  <si>
    <t>Σ048561</t>
  </si>
  <si>
    <t>ΑΙ836671</t>
  </si>
  <si>
    <t>ΤΣΕΚΑ</t>
  </si>
  <si>
    <t>ΑΑ039407</t>
  </si>
  <si>
    <t>ΣΤΡΩΜΑΤΙΑ</t>
  </si>
  <si>
    <t>Μ886945</t>
  </si>
  <si>
    <t>ΜΠΟΥΡΛΙΒΑ</t>
  </si>
  <si>
    <t>Ρ204902</t>
  </si>
  <si>
    <t>Σιορφανέ</t>
  </si>
  <si>
    <t>Ευαγγελία</t>
  </si>
  <si>
    <t xml:space="preserve">Βασίλειος </t>
  </si>
  <si>
    <t>ΑΗ728567</t>
  </si>
  <si>
    <t>ΚΙΖΗ</t>
  </si>
  <si>
    <t>ΣΤΕΛΛΙΟΣ</t>
  </si>
  <si>
    <t>ΑΝ887189</t>
  </si>
  <si>
    <t>ΣΑΧΜΠΑΖΙΔΟΥ</t>
  </si>
  <si>
    <t>ΝΤΙΑΝΑ</t>
  </si>
  <si>
    <t>ΑΚ822216</t>
  </si>
  <si>
    <t>ΓΡΑΦΙΑΔΕΛΗ</t>
  </si>
  <si>
    <t>Χ506439</t>
  </si>
  <si>
    <t>Τ373376</t>
  </si>
  <si>
    <t>ΑΜΠΑΤΖΙΔΗ</t>
  </si>
  <si>
    <t>ΑΚ738405</t>
  </si>
  <si>
    <t>ΓΙΑΒΡΗ</t>
  </si>
  <si>
    <t>ΑΚ047427</t>
  </si>
  <si>
    <t>Ρ074876</t>
  </si>
  <si>
    <t>ΤΣΑΓΚΑΡΑΝΤΩΝΑΚΗ</t>
  </si>
  <si>
    <t>ΜΑΡΙΛΕΝΑ</t>
  </si>
  <si>
    <t>ΑΒ959347</t>
  </si>
  <si>
    <t>ΧΡΥΣΑΝΘΙΔΟΥ</t>
  </si>
  <si>
    <t>ΑΑ869287</t>
  </si>
  <si>
    <t>ΑΠΙΔΟΠΟΥΛΟΥ</t>
  </si>
  <si>
    <t>ΑΖ801412</t>
  </si>
  <si>
    <t>ΑΚ528707</t>
  </si>
  <si>
    <t>ΣΤΕΡΓΙΟΥ</t>
  </si>
  <si>
    <t>ΑΜ115885</t>
  </si>
  <si>
    <t>Σ351952</t>
  </si>
  <si>
    <t>Χ974211</t>
  </si>
  <si>
    <t>ΚΟΥΡΑΜΠΑ</t>
  </si>
  <si>
    <t>ΑΚ345977</t>
  </si>
  <si>
    <t>ΑΓΑΠΙΟΥ</t>
  </si>
  <si>
    <t>ΑΝ534274</t>
  </si>
  <si>
    <t>ΠΕΛΑ</t>
  </si>
  <si>
    <t>ΜΑΡΣΕΛΑ</t>
  </si>
  <si>
    <t>ΣΩΤΗΡΑΚΗ</t>
  </si>
  <si>
    <t>ΑΚ817819</t>
  </si>
  <si>
    <t>ΚΕΝΤΕΠΟΖΙΔΟΥ</t>
  </si>
  <si>
    <t>ΑΚ984721</t>
  </si>
  <si>
    <t>ΣΜΙΤΑΚΗ</t>
  </si>
  <si>
    <t>Χ908681</t>
  </si>
  <si>
    <t>ΑΖ236383</t>
  </si>
  <si>
    <t>ΑΝ349532</t>
  </si>
  <si>
    <t>ΚΟΥΡΟΥΠΑΚΗ</t>
  </si>
  <si>
    <t>ΑΝΔΡΙΚΟΣ</t>
  </si>
  <si>
    <t>ΑΗ958438</t>
  </si>
  <si>
    <t>ΑΔΑΜΙΔΟΥ</t>
  </si>
  <si>
    <t>ΑΚ320838</t>
  </si>
  <si>
    <t>ΑΒ427119</t>
  </si>
  <si>
    <t>ΑΝΔΡΕΑΔΟΥ</t>
  </si>
  <si>
    <t>ΑΗ990912</t>
  </si>
  <si>
    <t>ΧΗΡΑ</t>
  </si>
  <si>
    <t>ΑΕ319673</t>
  </si>
  <si>
    <t>Αναγνωστου</t>
  </si>
  <si>
    <t xml:space="preserve">Αναστασια </t>
  </si>
  <si>
    <t>Φ078477</t>
  </si>
  <si>
    <t>ΑΙ949507</t>
  </si>
  <si>
    <t>ΤΣΑΜΠΟΥΡΗ</t>
  </si>
  <si>
    <t>Χ894246</t>
  </si>
  <si>
    <t>ΔΗΜΑ</t>
  </si>
  <si>
    <t>ΑΕ292032</t>
  </si>
  <si>
    <t>ΒΕΝΕΤΗ ΠΑΓΩΝΗ</t>
  </si>
  <si>
    <t>ΑΖ055229</t>
  </si>
  <si>
    <t>ΚΥΠΡΙΩΤΗ</t>
  </si>
  <si>
    <t>Π103634</t>
  </si>
  <si>
    <t>Π147416</t>
  </si>
  <si>
    <t>ΚΑΛΑΜΠΑΛΙΚΗ</t>
  </si>
  <si>
    <t>ΑΗ651770</t>
  </si>
  <si>
    <t>ΤΣΑΠΑΝΙΔΗ</t>
  </si>
  <si>
    <t>Χ283023</t>
  </si>
  <si>
    <t>ΜΑΝΟΥΣΟΥ</t>
  </si>
  <si>
    <t>Φ033217</t>
  </si>
  <si>
    <t>ΣΙΔΕΡΑ</t>
  </si>
  <si>
    <t>ΑΕ861167</t>
  </si>
  <si>
    <t>ΑΗ803978</t>
  </si>
  <si>
    <t>ΑΙ139065</t>
  </si>
  <si>
    <t>ΑΝΘΗ</t>
  </si>
  <si>
    <t>ΑΜ754468</t>
  </si>
  <si>
    <t>ΚΑΨΑΧΑΤΗ</t>
  </si>
  <si>
    <t>ΧΑΡΙΣ</t>
  </si>
  <si>
    <t>Φ095771</t>
  </si>
  <si>
    <t>ΡΗΓΟΠΟΥΛΟΥ</t>
  </si>
  <si>
    <t>ΑΝ104653</t>
  </si>
  <si>
    <t>ΒΑΛΚΑΝΗ</t>
  </si>
  <si>
    <t>ΑΑ231303</t>
  </si>
  <si>
    <t>ΚΑΡΑΜΙΧΑ</t>
  </si>
  <si>
    <t>ΑΙ851509</t>
  </si>
  <si>
    <t>ΛΑΓΟΠΟΥΛΟΥ</t>
  </si>
  <si>
    <t>ΑΖ398717</t>
  </si>
  <si>
    <t>ΜΠΑΚΙΡΤΖΗ</t>
  </si>
  <si>
    <t>Χ735615</t>
  </si>
  <si>
    <t>ΑΗ289718</t>
  </si>
  <si>
    <t>ΤΣΙΟΥΚΑΡΑ</t>
  </si>
  <si>
    <t>ΑΚ424193</t>
  </si>
  <si>
    <t>ΚΑΠΕΡΩΝΗ</t>
  </si>
  <si>
    <t>ΑΗ032838</t>
  </si>
  <si>
    <t>ΣΑΒΒΙΔΗ</t>
  </si>
  <si>
    <t>ΑΚ703542</t>
  </si>
  <si>
    <t>ΠΟΤΟΛΙΔΟΥ</t>
  </si>
  <si>
    <t>ΑΒ114186</t>
  </si>
  <si>
    <t>ΜΠΟΥΤΚΟΒΑΛΗΣ</t>
  </si>
  <si>
    <t>ΑΙ728612</t>
  </si>
  <si>
    <t>ΠΑΝΑΓΟΠΟΥΛΟΥ</t>
  </si>
  <si>
    <t>Τ083762</t>
  </si>
  <si>
    <t>ΑΗ516957</t>
  </si>
  <si>
    <t>ΡΑΝΤΟΓΛΟΥ</t>
  </si>
  <si>
    <t>ΚΑΛΙΑΚΟΥΔΑ</t>
  </si>
  <si>
    <t>ΑΗ767106</t>
  </si>
  <si>
    <t>ΑΜ269998</t>
  </si>
  <si>
    <t>ΣΤΑΥΡΟΥΛΑΚΗ</t>
  </si>
  <si>
    <t>ΑΖ470471</t>
  </si>
  <si>
    <t>ΓΟΥΡΓΙΩΤΗ</t>
  </si>
  <si>
    <t>ΚΛΕΟΝΙΚΗ</t>
  </si>
  <si>
    <t>Ρ391544</t>
  </si>
  <si>
    <t>ΔΑΜΙΓΟΥ</t>
  </si>
  <si>
    <t>ΑΜ234576</t>
  </si>
  <si>
    <t>ΜΑΓΟΥΛΑΚΗ</t>
  </si>
  <si>
    <t>ΓΕΩΡΓIΟΣ</t>
  </si>
  <si>
    <t>ΑΖ467923</t>
  </si>
  <si>
    <t>ΘΕΟΔΟΥΛΑ</t>
  </si>
  <si>
    <t>ΑΕ142125</t>
  </si>
  <si>
    <t>ΒΕΡΓΗ</t>
  </si>
  <si>
    <t>ΑΒ403794</t>
  </si>
  <si>
    <t>ΚΑΤΣΑΜΠΑ-ΣΑΜΟΛΑΔΑ</t>
  </si>
  <si>
    <t>Χ182382</t>
  </si>
  <si>
    <t>ΜΥΛΩΝΑ</t>
  </si>
  <si>
    <t>ΑΑ304123</t>
  </si>
  <si>
    <t>ΤΣΕΛΕΜΠΟΝΗ</t>
  </si>
  <si>
    <t>ΑΕ132532</t>
  </si>
  <si>
    <t>ΛΙΑΝΤΖΗ</t>
  </si>
  <si>
    <t>ΑΕ339483</t>
  </si>
  <si>
    <t>ΓΩΓΟΥΒΙΤΟΥ</t>
  </si>
  <si>
    <t>Ρ898539</t>
  </si>
  <si>
    <t>ΦΙΛΙΠΠΙΔΟΥ</t>
  </si>
  <si>
    <t>ΜΑΡΙΑ ΘΕΟΔΟΣΙΑ</t>
  </si>
  <si>
    <t>ΑΒ129901</t>
  </si>
  <si>
    <t>ΒΑΛΗ</t>
  </si>
  <si>
    <t>ΓΙΑΣΙΜΩ</t>
  </si>
  <si>
    <t>Χ570092</t>
  </si>
  <si>
    <t>ΚΑΛΛΙΟΝΑΚΗ</t>
  </si>
  <si>
    <t>ΑΖ468199</t>
  </si>
  <si>
    <t>ΚΑΤΡΙΔΟΥ</t>
  </si>
  <si>
    <t>ΑΗ887681</t>
  </si>
  <si>
    <t>ΑΝΘΟΠΟΥΛΟΥ</t>
  </si>
  <si>
    <t>ΑΖ897379</t>
  </si>
  <si>
    <t>Χ238240</t>
  </si>
  <si>
    <t>ΜΠΑΜΠΑΛΙΑΡΗ</t>
  </si>
  <si>
    <t>Σ749296</t>
  </si>
  <si>
    <t>ΚΑΠΡΑΛΟΥ</t>
  </si>
  <si>
    <t>ΑΗ935500</t>
  </si>
  <si>
    <t>ΚΟΚΚΙΝΟΠΛΙΤΗ</t>
  </si>
  <si>
    <t>ΑΗ320959</t>
  </si>
  <si>
    <t>ΦΟΡΤΣΑ</t>
  </si>
  <si>
    <t>ΑΑ426409</t>
  </si>
  <si>
    <t>ΝΥΦΑΝΤΟΠΟΥΛΟΥ</t>
  </si>
  <si>
    <t>ΑΒ385817</t>
  </si>
  <si>
    <t>ΓΙΟΧΤΣΗ</t>
  </si>
  <si>
    <t>ΑΜ906526</t>
  </si>
  <si>
    <t>ΘΕΟΔΩΡΟΥ</t>
  </si>
  <si>
    <t>ΕΥΣΤΡΑΤΙΑ</t>
  </si>
  <si>
    <t>ΑΕ438590</t>
  </si>
  <si>
    <t>ΚΑΣΑΠΗ</t>
  </si>
  <si>
    <t>Χ466947</t>
  </si>
  <si>
    <t>ΚΑΖΑΚΟΥ</t>
  </si>
  <si>
    <t>ΑΜ091084</t>
  </si>
  <si>
    <t>ΣΚΡΕΤΑ</t>
  </si>
  <si>
    <t>ΑΖ541751</t>
  </si>
  <si>
    <t>ΝΤΟΝΤΗ</t>
  </si>
  <si>
    <t>ΑΚ272496</t>
  </si>
  <si>
    <t>ΚΑΛΙΩΡΑ</t>
  </si>
  <si>
    <t>ΑΙ999380</t>
  </si>
  <si>
    <t>ΜΑΡΑΓΚΟΥΔΑΚΗ</t>
  </si>
  <si>
    <t>ΑΗ070643</t>
  </si>
  <si>
    <t>ΜΠΟΝΤΟΛΟΥ</t>
  </si>
  <si>
    <t>ΑΖ285546</t>
  </si>
  <si>
    <t>Ρ233067</t>
  </si>
  <si>
    <t>ΦΑΣΟΥΛΗ</t>
  </si>
  <si>
    <t>ΑΒ511631</t>
  </si>
  <si>
    <t>ΚΟΛΛΗΜΕΝΟΥ</t>
  </si>
  <si>
    <t>Χ219211</t>
  </si>
  <si>
    <t>ΚΑΡΤΑΛΗ</t>
  </si>
  <si>
    <t>ΑΖ312288</t>
  </si>
  <si>
    <t>ΑΔΑΜΟΠΟΥΛΟΥ</t>
  </si>
  <si>
    <t>ΑΚ368775</t>
  </si>
  <si>
    <t>ΚΟΚΟΡΟΜΥΤΗ</t>
  </si>
  <si>
    <t>Π839248</t>
  </si>
  <si>
    <t>ΠΑΠΑΠΑΝΟΥ</t>
  </si>
  <si>
    <t>ΑΙ105201</t>
  </si>
  <si>
    <t>ΑΚΡΙΒΟΥ</t>
  </si>
  <si>
    <t>Χ377870</t>
  </si>
  <si>
    <t>ΦΑΡΜΑΚΗ</t>
  </si>
  <si>
    <t>ΓΑΡΥΦΑΛΙΑ</t>
  </si>
  <si>
    <t>Σ784926</t>
  </si>
  <si>
    <t>ΣΠΗΛΙΟΣ</t>
  </si>
  <si>
    <t>Χ333591</t>
  </si>
  <si>
    <t>ΧΑΤΖΗΧΑΡΑΛΑΜΠΟΥΣ</t>
  </si>
  <si>
    <t>Χ740616</t>
  </si>
  <si>
    <t>Μ018460</t>
  </si>
  <si>
    <t>ΤΣΟΥΧΑ</t>
  </si>
  <si>
    <t>ΑΖ873768</t>
  </si>
  <si>
    <t>ΜΗΛΙΟΥ</t>
  </si>
  <si>
    <t>Τ794289</t>
  </si>
  <si>
    <t>ΚΑΡΑΟΥΛΑΝΗ</t>
  </si>
  <si>
    <t>Σ740190</t>
  </si>
  <si>
    <t>ΤΑΤΣΗ</t>
  </si>
  <si>
    <t>Τ911112</t>
  </si>
  <si>
    <t>ΚΟΥΤΑΛΙΔΟΥ</t>
  </si>
  <si>
    <t>ΑΡΧΟΝΤΙΑ</t>
  </si>
  <si>
    <t>ΑΖ341694</t>
  </si>
  <si>
    <t>Ρ220052</t>
  </si>
  <si>
    <t>ΜΟΥΚΑ</t>
  </si>
  <si>
    <t>ΑΕ268764</t>
  </si>
  <si>
    <t>ΚΑΤΣΙΑΒΑΡΑ</t>
  </si>
  <si>
    <t>Σ892474</t>
  </si>
  <si>
    <t>ΓΕΡΑΚΗ</t>
  </si>
  <si>
    <t>ΧΡΙΣΤΟΔΟΥΛΟΣ</t>
  </si>
  <si>
    <t>ΑΒ359140</t>
  </si>
  <si>
    <t>ΜΠΑΜΙΑΤΖΗ</t>
  </si>
  <si>
    <t>Σ609154</t>
  </si>
  <si>
    <t>ΣΤΕΝΟΥ</t>
  </si>
  <si>
    <t>ΑΙ306787</t>
  </si>
  <si>
    <t>ΤΣΙΤΣΙΑ</t>
  </si>
  <si>
    <t>ΑΝ252927</t>
  </si>
  <si>
    <t>Ξ761864</t>
  </si>
  <si>
    <t>ΓΚΟΚΑ</t>
  </si>
  <si>
    <t>Ρ765645</t>
  </si>
  <si>
    <t>ΕΥΑΓΓΕΛΗ</t>
  </si>
  <si>
    <t>Ρ258488</t>
  </si>
  <si>
    <t>ΚΑΚΟΥΛΙΔΟΥ</t>
  </si>
  <si>
    <t>ΑΚ992625</t>
  </si>
  <si>
    <t>ΤΟΥΣΚΙΔΟΥ</t>
  </si>
  <si>
    <t>ΑΗ681151</t>
  </si>
  <si>
    <t>ΚΑΛΟΓΙΑΝΝΗ</t>
  </si>
  <si>
    <t>ΑΙ935808</t>
  </si>
  <si>
    <t>ΑΡΧΟΝΤΟΥΛΑ</t>
  </si>
  <si>
    <t>Ρ280032</t>
  </si>
  <si>
    <t>ΑΚ283394</t>
  </si>
  <si>
    <t>ΓΑΛΟΥΠΗ</t>
  </si>
  <si>
    <t>ΑΖ415118</t>
  </si>
  <si>
    <t>ΚΙΜΠΟΥΡΗ</t>
  </si>
  <si>
    <t>ΑΔΡΙΑΝΟΣ</t>
  </si>
  <si>
    <t>ΑΚ959154</t>
  </si>
  <si>
    <t>ΑΙ721649</t>
  </si>
  <si>
    <t>ΤΣΑΓΚΑ</t>
  </si>
  <si>
    <t>ΜΑΡΙΑΝΑ ΑΛΕΞΙΑ</t>
  </si>
  <si>
    <t>ΑΝ050554</t>
  </si>
  <si>
    <t>ΛΟΞΟΠΟΥΛΟΥ</t>
  </si>
  <si>
    <t>ΑΜ227149</t>
  </si>
  <si>
    <t>ΚΑΤΣΑΡΟΥ</t>
  </si>
  <si>
    <t>ΜΑΡΙΑ-ΕΛΕΝΗ</t>
  </si>
  <si>
    <t>ΑΙ826900</t>
  </si>
  <si>
    <t>ΜΙΧΑ</t>
  </si>
  <si>
    <t>ΑΡΤΑ</t>
  </si>
  <si>
    <t>ΑΖ633841</t>
  </si>
  <si>
    <t>ΙΩΑΚΕΙΜΙΔΟΥ</t>
  </si>
  <si>
    <t>ΑΙ920780</t>
  </si>
  <si>
    <t>ΔΙΑΚΟΣΑΒΒΑ</t>
  </si>
  <si>
    <t>ΑΜ943914</t>
  </si>
  <si>
    <t>ΜΠΑΛΩΜΕΝΟΥ</t>
  </si>
  <si>
    <t>Ρ258411</t>
  </si>
  <si>
    <t>ΣΤΑΜΩ</t>
  </si>
  <si>
    <t>Π117759</t>
  </si>
  <si>
    <t>ΚΑΡΑΔΗΜΟΥ</t>
  </si>
  <si>
    <t>ΑΜ696495</t>
  </si>
  <si>
    <t>ΑΕ822913</t>
  </si>
  <si>
    <t>ΚΡΑΣΟΠΟΥΛΟΥ</t>
  </si>
  <si>
    <t>ΚΑΣΙΑΝΗ</t>
  </si>
  <si>
    <t>ΑΕ929557</t>
  </si>
  <si>
    <t>ΚΡΙΘΑΡΗ - ΧΑΤΖΗΔΑΚΗ</t>
  </si>
  <si>
    <t>ΑΝΝΑ - ΙΩΑΝΝΑ</t>
  </si>
  <si>
    <t>ΑΝ582091</t>
  </si>
  <si>
    <t>ΤΟΤΣΑ</t>
  </si>
  <si>
    <t>ΑΒ870500</t>
  </si>
  <si>
    <t>Σ708721</t>
  </si>
  <si>
    <t>ΠΑΠΠΟΥ</t>
  </si>
  <si>
    <t>Φ485039</t>
  </si>
  <si>
    <t>ΝΙΤΣΟΥ</t>
  </si>
  <si>
    <t>Τ373544</t>
  </si>
  <si>
    <t>ΚΑΛΙΜΑΝΗ</t>
  </si>
  <si>
    <t>ΑΚ254730</t>
  </si>
  <si>
    <t>ΑΝ828576</t>
  </si>
  <si>
    <t>ΔΕΔΕΟΓΛΟΥ</t>
  </si>
  <si>
    <t>ΑΒ088828</t>
  </si>
  <si>
    <t>ΤΟΠΧΑΡΙΔΟΥ</t>
  </si>
  <si>
    <t>ΑΙ339160</t>
  </si>
  <si>
    <t>ΧΡΙΣΤΟΥΛΗ</t>
  </si>
  <si>
    <t>ΠΑΓΚΡΑΤΙΟΣ</t>
  </si>
  <si>
    <t>ΔΡΑΓΑΝΟΥΔΗ</t>
  </si>
  <si>
    <t>Χ987782</t>
  </si>
  <si>
    <t>ΖΑΡΑΚΩΤΑ</t>
  </si>
  <si>
    <t>ΑΗ295084</t>
  </si>
  <si>
    <t>ΑΜ364701</t>
  </si>
  <si>
    <t>ΠΟΥΝΑΡΤΖΗ</t>
  </si>
  <si>
    <t>ΑΝ419185</t>
  </si>
  <si>
    <t>ΤΣΙΟΥΜΑΡΑ</t>
  </si>
  <si>
    <t>ΑΙ872776</t>
  </si>
  <si>
    <t>ΜΕΛΙΣΣΟΠΟΥΛΟΥ</t>
  </si>
  <si>
    <t>ΑΝ214025</t>
  </si>
  <si>
    <t>ΤΑΡΑΝΤΙΛΗ</t>
  </si>
  <si>
    <t>Π114075</t>
  </si>
  <si>
    <t>Σ345043</t>
  </si>
  <si>
    <t>ΑΙ846904</t>
  </si>
  <si>
    <t>ΑΝΔΡΙΤΣΟΠΟΥΛΟΥ</t>
  </si>
  <si>
    <t>Π663575</t>
  </si>
  <si>
    <t>ΕΛΒΙΡΑ</t>
  </si>
  <si>
    <t>ΑΒ154754</t>
  </si>
  <si>
    <t>ΑΚ322735</t>
  </si>
  <si>
    <t>ΑΡΒΑΝΙΤΙΔΟΥ</t>
  </si>
  <si>
    <t>ΑΗ923337</t>
  </si>
  <si>
    <t>ΣΚΟΥΝΤΖΟΥ</t>
  </si>
  <si>
    <t>ΚΑΛΙΟΠΗ</t>
  </si>
  <si>
    <t>Χ029399</t>
  </si>
  <si>
    <t>ΓΕΡΟΝΤΙΔΟΥ</t>
  </si>
  <si>
    <t>ΑΗ158258</t>
  </si>
  <si>
    <t>ΣΓΟΥΡΑΚΗ</t>
  </si>
  <si>
    <t>ΑΚ472527</t>
  </si>
  <si>
    <t>ΒΟΥΡΟΥ</t>
  </si>
  <si>
    <t>ΑΕ591226</t>
  </si>
  <si>
    <t>ΜΠΟΥΤΣΙΑΝΗ</t>
  </si>
  <si>
    <t>Ρ782984</t>
  </si>
  <si>
    <t>ΣΚΟΥΦΟΥ</t>
  </si>
  <si>
    <t>ΔΗΜΗΤΡΑ ΘΑΛΕΙΑ</t>
  </si>
  <si>
    <t>ΑΒ404442</t>
  </si>
  <si>
    <t>ΑΝ670191</t>
  </si>
  <si>
    <t>ΤΕΛΛΑΚΗ</t>
  </si>
  <si>
    <t>ΑΗ388239</t>
  </si>
  <si>
    <t>ΦΡΑΓΚΟΥΛΗ</t>
  </si>
  <si>
    <t>ΕΛΕΝΑ</t>
  </si>
  <si>
    <t>ΑΖ112711</t>
  </si>
  <si>
    <t>ΤΟΚΑΤΛΙΔΟΥ</t>
  </si>
  <si>
    <t>ΑΗ299030</t>
  </si>
  <si>
    <t>ΚΑΝΕΛΛΟΠΟΥΛΟΥ</t>
  </si>
  <si>
    <t>ΔΗΜΟΚΡΙΤΟΣ</t>
  </si>
  <si>
    <t>Χ840049</t>
  </si>
  <si>
    <t>Δροσιτη</t>
  </si>
  <si>
    <t>Ευμορφια</t>
  </si>
  <si>
    <t>Τρυφων</t>
  </si>
  <si>
    <t>Φ478194</t>
  </si>
  <si>
    <t>ΑΕ827005</t>
  </si>
  <si>
    <t>ΜΠΑϊΜΑ</t>
  </si>
  <si>
    <t>Π931696</t>
  </si>
  <si>
    <t>ΜΠΟΥΡΑ</t>
  </si>
  <si>
    <t>ΑΜ010927</t>
  </si>
  <si>
    <t>ΡΑΠΑΤΑ</t>
  </si>
  <si>
    <t>ΑΚ072627</t>
  </si>
  <si>
    <t>ΜΠΑΛΟΥ</t>
  </si>
  <si>
    <t>ΑΑ480382</t>
  </si>
  <si>
    <t>ΤΖΟΥΒΑΛΗ</t>
  </si>
  <si>
    <t>ΑΙ776627</t>
  </si>
  <si>
    <t>ΜΑΝΗ</t>
  </si>
  <si>
    <t>Χ161981</t>
  </si>
  <si>
    <t>ΑΜ348847</t>
  </si>
  <si>
    <t>ΤΟΥΡΓΟΥΤΟΓΛΟΥ</t>
  </si>
  <si>
    <t>ΚΥΡΙΑΚΟΣ-ΙΣΑΑΚ</t>
  </si>
  <si>
    <t>ΑΑ080550</t>
  </si>
  <si>
    <t>ΦΩΤΕΙΝΗ-ΜΑΡΙΑ</t>
  </si>
  <si>
    <t>ΑΙ931697</t>
  </si>
  <si>
    <t>ΤΣΑΝΑΝΑ</t>
  </si>
  <si>
    <t>ΑΚ255641</t>
  </si>
  <si>
    <t>ΤΣΙΤΑΚΗ</t>
  </si>
  <si>
    <t>ΑΗ658158</t>
  </si>
  <si>
    <t>Μιχαλοπουλου</t>
  </si>
  <si>
    <t>Αννα</t>
  </si>
  <si>
    <t>ΑΙ007615</t>
  </si>
  <si>
    <t>ΜΟΥΖΑ</t>
  </si>
  <si>
    <t>ΑΑ477337</t>
  </si>
  <si>
    <t>ΝΤΕΡΙΛΑ</t>
  </si>
  <si>
    <t>ΑΚ984566</t>
  </si>
  <si>
    <t>ΚΟΓΙΑΝΝΑΚΗ</t>
  </si>
  <si>
    <t>ΕΥΑΓΓΕΛΙΑ ΜΑΡΙΑ</t>
  </si>
  <si>
    <t>ΑΑ490612</t>
  </si>
  <si>
    <t>ΧΑΛΙΛΗ</t>
  </si>
  <si>
    <t>Ρ410509</t>
  </si>
  <si>
    <t>ΠΑΝΑΓΟΥ</t>
  </si>
  <si>
    <t>ΑΖ345903</t>
  </si>
  <si>
    <t>ΑΝΔΡΟΝΙΚΗ</t>
  </si>
  <si>
    <t>Ρ815261</t>
  </si>
  <si>
    <t>ΣΙΜΑ</t>
  </si>
  <si>
    <t>ΑΖ253714</t>
  </si>
  <si>
    <t>ΛΩΛΗ</t>
  </si>
  <si>
    <t>Σοφια</t>
  </si>
  <si>
    <t>ΑΖ240504</t>
  </si>
  <si>
    <t>ΒΑΒΙΤΣΑ</t>
  </si>
  <si>
    <t>ΑΙ416931</t>
  </si>
  <si>
    <t>ΑΚ490360</t>
  </si>
  <si>
    <t>ΜΑΡΚΙΔΟΥ</t>
  </si>
  <si>
    <t>ΑΗ696095</t>
  </si>
  <si>
    <t>ΣΦΕΛΗΝΙΩΤΗ</t>
  </si>
  <si>
    <t>ΑΡΙΣΤΑΡΧΟΣ</t>
  </si>
  <si>
    <t>Π866839</t>
  </si>
  <si>
    <t>ΜΙΚΡΟΥ</t>
  </si>
  <si>
    <t>ΑΒ351215</t>
  </si>
  <si>
    <t>ΜΗΤΣΟΠΟΥΛΟΥ</t>
  </si>
  <si>
    <t>ΑΗ805540</t>
  </si>
  <si>
    <t>ΘΕΟΔΟΣΙΑ ΚΥΡΙΑΚΗ</t>
  </si>
  <si>
    <t>ΣΟΛΩΝ</t>
  </si>
  <si>
    <t>Χ235469</t>
  </si>
  <si>
    <t>ΜΑΛΛΙΑΡΑ</t>
  </si>
  <si>
    <t>ΑΜ869574</t>
  </si>
  <si>
    <t>ΚΟΡΔΩΝΗ</t>
  </si>
  <si>
    <t>Χ149649</t>
  </si>
  <si>
    <t>ΠΑΛΑΚΙΔΟΥ</t>
  </si>
  <si>
    <t>ΑΖ393565</t>
  </si>
  <si>
    <t>ΓΙΑΝΝΕΛΟΥ</t>
  </si>
  <si>
    <t>ΑΚ387603</t>
  </si>
  <si>
    <t>ΛΑΣΠΑ</t>
  </si>
  <si>
    <t>ΑΗ289922</t>
  </si>
  <si>
    <t>ΠΡΩΤΟΠΑΠΑ</t>
  </si>
  <si>
    <t>ΑΑ077094</t>
  </si>
  <si>
    <t>Σ759689</t>
  </si>
  <si>
    <t>ΓΙΑΚΟΥΜΗ</t>
  </si>
  <si>
    <t>Χ226816</t>
  </si>
  <si>
    <t>ΜΠΑΚΟΥΛΗ</t>
  </si>
  <si>
    <t>Φ279561</t>
  </si>
  <si>
    <t>ΑΒ053370</t>
  </si>
  <si>
    <t>Φ485038</t>
  </si>
  <si>
    <t>ΑΖ708107</t>
  </si>
  <si>
    <t>ΑΕ405646</t>
  </si>
  <si>
    <t>ΓΚΟΥΡΓΚΟΥΤΑ</t>
  </si>
  <si>
    <t>Ξ629306</t>
  </si>
  <si>
    <t>ΙΟΥΛΙΑ</t>
  </si>
  <si>
    <t>ΑΙ168196</t>
  </si>
  <si>
    <t>ΑΖ795910</t>
  </si>
  <si>
    <t>ΑΡΣΕΝΙΔΟΥ</t>
  </si>
  <si>
    <t>ΑΜ394441</t>
  </si>
  <si>
    <t>ΑΡΑΒΑΝΤΙΝΟΥ</t>
  </si>
  <si>
    <t>ΑΕ714870</t>
  </si>
  <si>
    <t>ΦΩΤΟΥ</t>
  </si>
  <si>
    <t>ΗΣΑΙΑ</t>
  </si>
  <si>
    <t>ΑΗ654710</t>
  </si>
  <si>
    <t>ΠΑΡΟΥΔΗ</t>
  </si>
  <si>
    <t>ΑΚ898610</t>
  </si>
  <si>
    <t>ΤΟΥΡΛΗ</t>
  </si>
  <si>
    <t>ΑΗ049129</t>
  </si>
  <si>
    <t>ΜΠΟΓΙΕΛΗ</t>
  </si>
  <si>
    <t>ΑΟ270916</t>
  </si>
  <si>
    <t>ΚΑΤΣΑΔΟΥΡΟΥ</t>
  </si>
  <si>
    <t>ΑΗ718604</t>
  </si>
  <si>
    <t>ΑΕ820824</t>
  </si>
  <si>
    <t>ΤΕΑ</t>
  </si>
  <si>
    <t>ΔΙΑΜΑΝΤΩ-ΑΛΕΞΑΝΔΡΑ</t>
  </si>
  <si>
    <t>Π502799</t>
  </si>
  <si>
    <t>ΝΤΩΝΑ</t>
  </si>
  <si>
    <t>ΑΕ821780</t>
  </si>
  <si>
    <t>ΤΣΑΡΝΑ</t>
  </si>
  <si>
    <t>Χ122405</t>
  </si>
  <si>
    <t>ΠΥΡΑΛΗ</t>
  </si>
  <si>
    <t>ΘΑΝΑΣΗΣ</t>
  </si>
  <si>
    <t>ΑΙ 693745</t>
  </si>
  <si>
    <t>ΜΠΡΑΚΟΥΛΙΑ</t>
  </si>
  <si>
    <t>ΑΚ362459</t>
  </si>
  <si>
    <t>ΚΡΑΝΙΩΤΑΚΗ</t>
  </si>
  <si>
    <t>ΑΚ979283</t>
  </si>
  <si>
    <t>Γούναρη</t>
  </si>
  <si>
    <t>Ηρακλής</t>
  </si>
  <si>
    <t>ΑΖ927308</t>
  </si>
  <si>
    <t>ΜΑΤΘΑΙΟΣ</t>
  </si>
  <si>
    <t>ΑΗ992171</t>
  </si>
  <si>
    <t>ΚΟΥΛΙΔΟΥ</t>
  </si>
  <si>
    <t>ΑΚ979623</t>
  </si>
  <si>
    <t>ΔΗΜΗΤΡΑΚΟΠΟΥΛΟΥ</t>
  </si>
  <si>
    <t>ΙΛΙΑΔΑ ΑΝΝΑ</t>
  </si>
  <si>
    <t>ΑΗ518513</t>
  </si>
  <si>
    <t>ΚΙΣΣΑΜΙΤΑΚΗ</t>
  </si>
  <si>
    <t>Σ496441</t>
  </si>
  <si>
    <t>ΟΡΦΑΝΙΔΟΥ</t>
  </si>
  <si>
    <t>ΙΕΡΟΘΕΟΣ</t>
  </si>
  <si>
    <t>ΑΕ206273</t>
  </si>
  <si>
    <t>ΑΕ288407</t>
  </si>
  <si>
    <t>ΛΥΤΣΙΟΥΛΗ</t>
  </si>
  <si>
    <t>AZ791417</t>
  </si>
  <si>
    <t>Ξ663846</t>
  </si>
  <si>
    <t>ΑΗ790238</t>
  </si>
  <si>
    <t>Χ835198</t>
  </si>
  <si>
    <t>ΣΚΑΛΚΟΓΙΑΝΝΗ</t>
  </si>
  <si>
    <t>Ν503969</t>
  </si>
  <si>
    <t>ΠΑΠΑΣΤΕΡΓΙΟΥ</t>
  </si>
  <si>
    <t>ΑΖ294358</t>
  </si>
  <si>
    <t>ΣΒΑΡΝΑ</t>
  </si>
  <si>
    <t>ΑΝ680654</t>
  </si>
  <si>
    <t>ΑΚ688822</t>
  </si>
  <si>
    <t>ΤΟΜΠΟΥΛΙΔΟΥ</t>
  </si>
  <si>
    <t>ΑΝ189659</t>
  </si>
  <si>
    <t>ΜΟΡΦΟΠΟΥΛΟΥ</t>
  </si>
  <si>
    <t>ΑΖ382084</t>
  </si>
  <si>
    <t>ΑΗ770896</t>
  </si>
  <si>
    <t>ΒΑΛΤΑΔΩΡΟΥ</t>
  </si>
  <si>
    <t>ΑΚ909603</t>
  </si>
  <si>
    <t>Χ821138</t>
  </si>
  <si>
    <t>ΤΣΙΡΛΑΚΗ</t>
  </si>
  <si>
    <t>ΤΑΤΙΑΝΗ</t>
  </si>
  <si>
    <t>Φ340155</t>
  </si>
  <si>
    <t>ΓΡΑΜΜΑΤΙΚΟΠΟΥΛΟΥ</t>
  </si>
  <si>
    <t>ΑΗ811588</t>
  </si>
  <si>
    <t>ΜΠΑΡΣΑΚΗ</t>
  </si>
  <si>
    <t>Χ829151</t>
  </si>
  <si>
    <t>ΑΚ980918</t>
  </si>
  <si>
    <t>ΦΛΩΡΟΥ</t>
  </si>
  <si>
    <t>Χ389540</t>
  </si>
  <si>
    <t>ΜΑΓΟΥΛΑ</t>
  </si>
  <si>
    <t>ΑΙ557002</t>
  </si>
  <si>
    <t>ΝΙΓΚΙΑΡΕ</t>
  </si>
  <si>
    <t>ΜΠΑΙΡΑΜΙ</t>
  </si>
  <si>
    <t>ΜΥΦΙΝΤ</t>
  </si>
  <si>
    <t>ΑΜ879017</t>
  </si>
  <si>
    <t>ΜΑΥΡΟΥΔΗ</t>
  </si>
  <si>
    <t>ΑΕ898559</t>
  </si>
  <si>
    <t>Ν493406</t>
  </si>
  <si>
    <t>ΣΑΡΑΝΤΟΣ</t>
  </si>
  <si>
    <t>ΑΗ735983</t>
  </si>
  <si>
    <t>ΜΑΥΡΙΔΟΥ</t>
  </si>
  <si>
    <t>Χ470900</t>
  </si>
  <si>
    <t>ΝΗΣΤΙΚΑΚΗ</t>
  </si>
  <si>
    <t>ΑΙ942722</t>
  </si>
  <si>
    <t>ΚΟΝΤΣΕ</t>
  </si>
  <si>
    <t>ΚΥΡΙΑΚ</t>
  </si>
  <si>
    <t>ΕΥΣ</t>
  </si>
  <si>
    <t>ΑΒ303144</t>
  </si>
  <si>
    <t>ΑΒΡΑΜΟΠΟΥΛΟΥ</t>
  </si>
  <si>
    <t>Τ273685</t>
  </si>
  <si>
    <t>ΜΕΙΜΑΡΟΓΛΟΥ</t>
  </si>
  <si>
    <t>ΑΗ631359</t>
  </si>
  <si>
    <t>ΘΑΜΝΙΔΟΥ</t>
  </si>
  <si>
    <t>ΑΙ885753</t>
  </si>
  <si>
    <t>ΒΟΛΑΝΑΚΗ</t>
  </si>
  <si>
    <t>Χ358110</t>
  </si>
  <si>
    <t>ΚΟΥΡΤΙΚΑΚΗ</t>
  </si>
  <si>
    <t>ΑΗ090129</t>
  </si>
  <si>
    <t>ΚΑΡΥΔΟΠΟΥΛΟΥ</t>
  </si>
  <si>
    <t>ΑΚ414297</t>
  </si>
  <si>
    <t>ΒΟΥΖΑΛΗ</t>
  </si>
  <si>
    <t>ΑΕ251292</t>
  </si>
  <si>
    <t>ΑΣΒΕΣΤΑΡΗ</t>
  </si>
  <si>
    <t>ΑΛΚΜΗΝΗ</t>
  </si>
  <si>
    <t>ΑΙ040306</t>
  </si>
  <si>
    <t>ΧΑΒΑΔΑΚΗ</t>
  </si>
  <si>
    <t>ΑΖ962529</t>
  </si>
  <si>
    <t>ΑΒ067772</t>
  </si>
  <si>
    <t>ΜΠΑΡΜΠΑΔΗΜΟΥ</t>
  </si>
  <si>
    <t>ΑΙ995952</t>
  </si>
  <si>
    <t>ΜΠΑΡΩΝΟΥ</t>
  </si>
  <si>
    <t>ΝΙΚΗΦΟΡΟΣ</t>
  </si>
  <si>
    <t>ΑΖ665601</t>
  </si>
  <si>
    <t>ΑΗ635096</t>
  </si>
  <si>
    <t>ΠΟΔΑΡΑ</t>
  </si>
  <si>
    <t>ΑΒ104497</t>
  </si>
  <si>
    <t>ΑΗ908299</t>
  </si>
  <si>
    <t>ΑΙ896763</t>
  </si>
  <si>
    <t>ΑΕ484418</t>
  </si>
  <si>
    <t>ΔΙΔΑΣΚΑΛΟΥ</t>
  </si>
  <si>
    <t>ΑΜ567885</t>
  </si>
  <si>
    <t>ΛΑΘΟΥΡΑΚΗ</t>
  </si>
  <si>
    <t>Ρ067431</t>
  </si>
  <si>
    <t>ΣΟΥΡΡΗ</t>
  </si>
  <si>
    <t>Χ090343</t>
  </si>
  <si>
    <t>ΑΝ646599</t>
  </si>
  <si>
    <t>ΓΙΑΒΡΙΜΗ</t>
  </si>
  <si>
    <t>ΑΗ430608</t>
  </si>
  <si>
    <t>Τ241745</t>
  </si>
  <si>
    <t>ΑΜΟΙΡΙΔΟΥ</t>
  </si>
  <si>
    <t>ΑΖ380159</t>
  </si>
  <si>
    <t>ΑΙΚΑΤΕΡΙΝΗ ΡΑΦΑΗΛΙΑ</t>
  </si>
  <si>
    <t>Χ861349</t>
  </si>
  <si>
    <t>ΚΑΝΙΑΜΟΥ</t>
  </si>
  <si>
    <t>ΤΑΞΙΑΡΧΗΣ</t>
  </si>
  <si>
    <t>ΑΒ237320</t>
  </si>
  <si>
    <t>ΟΜΗΡΙΔΟΥ</t>
  </si>
  <si>
    <t>Ρ339228</t>
  </si>
  <si>
    <t>ΤΣΑΚΑΡΑΚΗ</t>
  </si>
  <si>
    <t>ΑΖ596516</t>
  </si>
  <si>
    <t>Ξ065657</t>
  </si>
  <si>
    <t>Χ889952</t>
  </si>
  <si>
    <t xml:space="preserve">Παπαδοπουλου </t>
  </si>
  <si>
    <t>Αναστασια</t>
  </si>
  <si>
    <t>ΑΖ 290776</t>
  </si>
  <si>
    <t>ΑΗ822692</t>
  </si>
  <si>
    <t>ΔΙΑΜΑΝΤΑΤΟΥ</t>
  </si>
  <si>
    <t>ΑΝΝΑ ΟΛΥΜΠΙΑ</t>
  </si>
  <si>
    <t>ΑΑ400582</t>
  </si>
  <si>
    <t>ΖΑΡΚΟΓΙΑΝΝΗ</t>
  </si>
  <si>
    <t>Αθανασία</t>
  </si>
  <si>
    <t>ΑΙ511989</t>
  </si>
  <si>
    <t>ΣΤΕΦΑΝΟΥ</t>
  </si>
  <si>
    <t>ΑΒ902465</t>
  </si>
  <si>
    <t>ΠΑΣΧΙΔΗ</t>
  </si>
  <si>
    <t>Π130153</t>
  </si>
  <si>
    <t>ΠΑΠΑΣΠΥΡΟΠΟΥΛΟΥ</t>
  </si>
  <si>
    <t>ΑΓΓΕΛΗΣ</t>
  </si>
  <si>
    <t>Χ301285</t>
  </si>
  <si>
    <t>ΤΣΩΝΟΥ</t>
  </si>
  <si>
    <t>ΠΑΤΡΑ</t>
  </si>
  <si>
    <t>ΑΙ815870</t>
  </si>
  <si>
    <t>ΦΟΥΝΤΟΥΚΗ</t>
  </si>
  <si>
    <t>Σ225926</t>
  </si>
  <si>
    <t>ΑΗ539107</t>
  </si>
  <si>
    <t>ΓΕΡΟΠΑΝΤΑ</t>
  </si>
  <si>
    <t>ΜΑΝΘΟΣ</t>
  </si>
  <si>
    <t>ΑΒ018391</t>
  </si>
  <si>
    <t>ΠΑΠΑΔΑΚΗ</t>
  </si>
  <si>
    <t>ΑΗ 144752</t>
  </si>
  <si>
    <t>ΧΑΤΖΗΠΑΡΑΣΚΕΥΑ</t>
  </si>
  <si>
    <t>ΜΑΡΙΑ ΙΩΑΝΝΑ</t>
  </si>
  <si>
    <t>ΠΡΟΔΡΟΜΟΣ</t>
  </si>
  <si>
    <t>Φ143854</t>
  </si>
  <si>
    <t>ΚΑΡΑΓΕΩΡΓΟΥ</t>
  </si>
  <si>
    <t>ΑΑ430353</t>
  </si>
  <si>
    <t>ΣΕΓΓΟΥΝΗ</t>
  </si>
  <si>
    <t>ΕΛΕΥΘΕΡΙΑ-ΣΤΥΛΙΑΝΗ</t>
  </si>
  <si>
    <t>Χ416647</t>
  </si>
  <si>
    <t>ΠΕΤΡΟΥΛΗ</t>
  </si>
  <si>
    <t>ΠΟΥΛΧΕΡΙΑ</t>
  </si>
  <si>
    <t>ΑΗ384715</t>
  </si>
  <si>
    <t>ΘΩΜΑΪΔΟΥ</t>
  </si>
  <si>
    <t>ΠΑΝΟΥΛΑ</t>
  </si>
  <si>
    <t>ΛΕΩΝ</t>
  </si>
  <si>
    <t>ΑΕ409657</t>
  </si>
  <si>
    <t>ΠΑΠΑΒΑΣΙΛΗ</t>
  </si>
  <si>
    <t>ΑΒ333125</t>
  </si>
  <si>
    <t>Φ029100</t>
  </si>
  <si>
    <t>ΚΟΥΡΤΕΛΗ</t>
  </si>
  <si>
    <t>ΑΓΓΕΛΑ</t>
  </si>
  <si>
    <t>ΑΝ411661</t>
  </si>
  <si>
    <t>ΑΜ362331</t>
  </si>
  <si>
    <t>ΑΕ234826</t>
  </si>
  <si>
    <t>ΚΟΙΝΗ</t>
  </si>
  <si>
    <t>ΑΝ797532</t>
  </si>
  <si>
    <t>ΡΗΓΑΛΟΥ</t>
  </si>
  <si>
    <t>ΑΖ585543</t>
  </si>
  <si>
    <t>ΣΟΥΛΙΚΙΑ</t>
  </si>
  <si>
    <t>Σ458945</t>
  </si>
  <si>
    <t>ΚΑΒΟΥΡΑΚΗ</t>
  </si>
  <si>
    <t>ΑΗ787879</t>
  </si>
  <si>
    <t>ΖΙΑΚΟΥΛΗ</t>
  </si>
  <si>
    <t>ΑΑ433982</t>
  </si>
  <si>
    <t>ΤΟΥΡΝΙΚΙΩΤΗ</t>
  </si>
  <si>
    <t>Χ794305</t>
  </si>
  <si>
    <t>ΜΠΑΜΠΛΕΚΗ</t>
  </si>
  <si>
    <t>ΑΗ284650</t>
  </si>
  <si>
    <t>Σ784428</t>
  </si>
  <si>
    <t>ΣΙΩΚΑ</t>
  </si>
  <si>
    <t>Σ998299</t>
  </si>
  <si>
    <t>ΠΑΠΑΣΤΑΘΟΠΟΥΛΟΥ</t>
  </si>
  <si>
    <t>ΙΤΙΑ</t>
  </si>
  <si>
    <t>ΑΝ648087</t>
  </si>
  <si>
    <t>ΠΙΤΟΥΛΙΑ</t>
  </si>
  <si>
    <t>ΑΜ388046</t>
  </si>
  <si>
    <t>ΑΗ040909</t>
  </si>
  <si>
    <t>ΠΑΛΑΙΟΓΛΙΔΟΥ</t>
  </si>
  <si>
    <t>ΑΕ334505</t>
  </si>
  <si>
    <t>Μπαργιάννη</t>
  </si>
  <si>
    <t>Μαρία Ανθή</t>
  </si>
  <si>
    <t>Απόστολος</t>
  </si>
  <si>
    <t>ΑΖ89561</t>
  </si>
  <si>
    <t>ΝΙΟΒΗ</t>
  </si>
  <si>
    <t>ΑΚ291585</t>
  </si>
  <si>
    <t>ΚΑΝΤΙΤΖΙΔΟΥ</t>
  </si>
  <si>
    <t>ΑΒ729260</t>
  </si>
  <si>
    <t>Δημητρίου</t>
  </si>
  <si>
    <t>Κατερίνα</t>
  </si>
  <si>
    <t>Ηλίας</t>
  </si>
  <si>
    <t>Φ488394</t>
  </si>
  <si>
    <t>ΚΟΛΟΚΟΥΡΗ</t>
  </si>
  <si>
    <t>ΑΚ753644</t>
  </si>
  <si>
    <t>ΠΟΛΥΑΝΘH</t>
  </si>
  <si>
    <t>ΑΚ649472</t>
  </si>
  <si>
    <t>ΚΙΟΥΜΟΥΡΤΖΗ</t>
  </si>
  <si>
    <t>ΑΚ979150</t>
  </si>
  <si>
    <t>ΤΣΟΠΕΛΑ ΤΣΟΥΦΗ</t>
  </si>
  <si>
    <t>ΑΝ338035</t>
  </si>
  <si>
    <t>ΤΣΙΟΝΑ</t>
  </si>
  <si>
    <t>ΕΥΑΓΓΕΛΙΑ ΣΩΤ</t>
  </si>
  <si>
    <t>ΑΙ667674</t>
  </si>
  <si>
    <t>ΛΗΜΝΙΟΥ</t>
  </si>
  <si>
    <t>ΑΚ843319</t>
  </si>
  <si>
    <t>ΑΗ455184</t>
  </si>
  <si>
    <t>ΜΑΡΙΑ ΖΩΗ</t>
  </si>
  <si>
    <t>Χ640423</t>
  </si>
  <si>
    <t>ΣΕΡΑΣΗ</t>
  </si>
  <si>
    <t>ΑΝΑΤΟΛΗ</t>
  </si>
  <si>
    <t>ΑΚ426189</t>
  </si>
  <si>
    <t>ΠΑΡΠΟΥ</t>
  </si>
  <si>
    <t>ΑΕ342754</t>
  </si>
  <si>
    <t>Π693390</t>
  </si>
  <si>
    <t>ΒΕΛΩΚΑ</t>
  </si>
  <si>
    <t>ΑΖ122735</t>
  </si>
  <si>
    <t>ΠΕΤΣΕΝΙΚ</t>
  </si>
  <si>
    <t>ΑΙΣΕ</t>
  </si>
  <si>
    <t>ΣΑΜΗ</t>
  </si>
  <si>
    <t>ΑΒ742232</t>
  </si>
  <si>
    <t>Καραμπα</t>
  </si>
  <si>
    <t>Ευσταθια</t>
  </si>
  <si>
    <t>ΚΑΛΛΙΚΡΑΤΗΣ</t>
  </si>
  <si>
    <t>ΑΕ565801</t>
  </si>
  <si>
    <t>ΖΕΡΜΠΙΝΟΥ</t>
  </si>
  <si>
    <t>ΝΑΥΣΙΚΑ</t>
  </si>
  <si>
    <t>ΑΒ062641</t>
  </si>
  <si>
    <t>ΚΟΔΕΛΛΑ</t>
  </si>
  <si>
    <t>ΑΜ572550</t>
  </si>
  <si>
    <t>ΕΜΕΡΙΑΝ</t>
  </si>
  <si>
    <t>ΣΑΜΠΡΙΝΑ</t>
  </si>
  <si>
    <t>ΒΑΡΤΕΡΕΣ</t>
  </si>
  <si>
    <t>Χ217129</t>
  </si>
  <si>
    <t>ΓΚΟΓΚΟΥ</t>
  </si>
  <si>
    <t>ΑΖ345346</t>
  </si>
  <si>
    <t>ΑΗ293945</t>
  </si>
  <si>
    <t>ΛΕΓΑΚΗ</t>
  </si>
  <si>
    <t>ΑΗ139310</t>
  </si>
  <si>
    <t>ΕΛΕΥΘΕΡΙΑ-ΦΑΝΟΥΡΙΑ</t>
  </si>
  <si>
    <t>ΑΖ762971</t>
  </si>
  <si>
    <t xml:space="preserve">ΜΑΧΑΙΡΟΠΟΥΛΟΥ </t>
  </si>
  <si>
    <t>ΑΑ869056</t>
  </si>
  <si>
    <t>ΠΑΚΤΙΤΗ</t>
  </si>
  <si>
    <t>ΑΕ297428</t>
  </si>
  <si>
    <t>ΤΖΑΝΑΚΑΚΗ</t>
  </si>
  <si>
    <t>ΚΑΛΛΙΟΠΗ ΒΑΡBAΡΑ</t>
  </si>
  <si>
    <t>ΑΜ461957</t>
  </si>
  <si>
    <t>ΑΙ651518</t>
  </si>
  <si>
    <t>ΤΟΥΛΑΚΗ</t>
  </si>
  <si>
    <t>ΑΗ197891</t>
  </si>
  <si>
    <t>ΤΟΥΝΤΑ</t>
  </si>
  <si>
    <t>ΚΑΝΕΛΛΙΑ</t>
  </si>
  <si>
    <t>ΑΝ668603</t>
  </si>
  <si>
    <t>ΜΠΟΥΚΗ</t>
  </si>
  <si>
    <t>ΑΝ640907</t>
  </si>
  <si>
    <t>ΠΕΤΡΟΒΑ</t>
  </si>
  <si>
    <t>ΑΗ229466</t>
  </si>
  <si>
    <t>ΝΙΚΟΛΟΥ</t>
  </si>
  <si>
    <t>ΑΗ240230</t>
  </si>
  <si>
    <t>ΚΑΡΑΜΠΕΡΟΥ</t>
  </si>
  <si>
    <t>Χ227645</t>
  </si>
  <si>
    <t>ΑΙ161370</t>
  </si>
  <si>
    <t>ΑΝΔΡΟΝΑΚΗ</t>
  </si>
  <si>
    <t>ΑΒ428985</t>
  </si>
  <si>
    <t>ΑΔΑΜ</t>
  </si>
  <si>
    <t>ΡΟΥΛΑ</t>
  </si>
  <si>
    <t>ΑΖ858851</t>
  </si>
  <si>
    <t>ΤΣΙΡΚΑ</t>
  </si>
  <si>
    <t>ΑΗ588007</t>
  </si>
  <si>
    <t>ΚΙΩΚΑΚΗ</t>
  </si>
  <si>
    <t>Χ890239</t>
  </si>
  <si>
    <t>ΛΟΥΚΑΙΔΟΥ</t>
  </si>
  <si>
    <t xml:space="preserve">ΙΩΑΝΝΗΣ </t>
  </si>
  <si>
    <t>ΑΒ441282</t>
  </si>
  <si>
    <t>ΚΕΤΑΝΗ</t>
  </si>
  <si>
    <t>Ξ600904</t>
  </si>
  <si>
    <t>ΜΟΥΓΚΑΣΗ</t>
  </si>
  <si>
    <t>ΑΙ686275</t>
  </si>
  <si>
    <t>ΚΩΣΤΑΜΗ</t>
  </si>
  <si>
    <t>ΑΗ285905</t>
  </si>
  <si>
    <t>ΦΟΥΝΤΟΥΚΙΔΟΥ</t>
  </si>
  <si>
    <t>Χ771847</t>
  </si>
  <si>
    <t>ΡΟΔΙΤΗ</t>
  </si>
  <si>
    <t>ΑΟ037096</t>
  </si>
  <si>
    <t>ΔΗΜΗΤΡΟΥΛΑ</t>
  </si>
  <si>
    <t>ΑΒ541998</t>
  </si>
  <si>
    <t>ΑΙ581045</t>
  </si>
  <si>
    <t>ΚΩΝΣΤΑΝΤΑΤΟΥ ΒΑΣΙΛΑΚΗ</t>
  </si>
  <si>
    <t>ΑΚ026864</t>
  </si>
  <si>
    <t>ΓΕΩΡΓΙΛΑ</t>
  </si>
  <si>
    <t>ΑΝ209404</t>
  </si>
  <si>
    <t>ΚΑΠΟΔΙΣΤΡΙΑ</t>
  </si>
  <si>
    <t>ΑΒ427553</t>
  </si>
  <si>
    <t>ΑΑ773077</t>
  </si>
  <si>
    <t>ΠΑΛΑΙΟΚΩΣΤΑ</t>
  </si>
  <si>
    <t>ΑΙ775128</t>
  </si>
  <si>
    <t>ΑΗ286228</t>
  </si>
  <si>
    <t>ΑΚ963664</t>
  </si>
  <si>
    <t>ΤΣΟΥΠΙΔΗ</t>
  </si>
  <si>
    <t>ΑΕ934489</t>
  </si>
  <si>
    <t>ΣΟΚΟΛΗ</t>
  </si>
  <si>
    <t>ΑΑ380028</t>
  </si>
  <si>
    <t>ΚΑΝΑΡΙΔΟΥ</t>
  </si>
  <si>
    <t xml:space="preserve">ΑΘΗΝΑ </t>
  </si>
  <si>
    <t>ΑΗ398161</t>
  </si>
  <si>
    <t>ΒΑΣΙΛΕΙΑ</t>
  </si>
  <si>
    <t>ΑΜ104028</t>
  </si>
  <si>
    <t>ΤΗΛΑΒΕΡΙΔΟΥ</t>
  </si>
  <si>
    <t>ΑΛΕΞΙΑ</t>
  </si>
  <si>
    <t>Χ878399</t>
  </si>
  <si>
    <t>ΣΑΡΡΗΓΙΑΝΝΙΔΟΥ</t>
  </si>
  <si>
    <t xml:space="preserve">ΕΥΓΕΝΙΑ </t>
  </si>
  <si>
    <t>ΑΒΡΑΑΜ</t>
  </si>
  <si>
    <t>ΑΖ669586</t>
  </si>
  <si>
    <t>ΚΩΣΤΙΔΟΥ</t>
  </si>
  <si>
    <t>Χ974021</t>
  </si>
  <si>
    <t>ΤΕΓΟΥ</t>
  </si>
  <si>
    <t>ΑΝ349193</t>
  </si>
  <si>
    <t>ΦΩΤΑΚΗ</t>
  </si>
  <si>
    <t>ΑΗ277207</t>
  </si>
  <si>
    <t>ΖΑΧΟΥ</t>
  </si>
  <si>
    <t>ΑΑ283248</t>
  </si>
  <si>
    <t>ΑΖ764722</t>
  </si>
  <si>
    <t>ΜΠΙΛΙΟΥΜΠΑΣΗ</t>
  </si>
  <si>
    <t>ΑΗ845701</t>
  </si>
  <si>
    <t>ΦΛΥΤΖΙΑΝΗ</t>
  </si>
  <si>
    <t>ΒΙΚΤΩΡΙΑ-ΜΑΡΙΑ</t>
  </si>
  <si>
    <t>ΑΙ861001</t>
  </si>
  <si>
    <t>ΠΑΡΔΑΛΟΥ</t>
  </si>
  <si>
    <t>ΑΝ200149</t>
  </si>
  <si>
    <t>ΑΓΓΕΛΑΚΗ</t>
  </si>
  <si>
    <t>ΑΙ803790</t>
  </si>
  <si>
    <t>ΜΠΛΕΤΣΑ</t>
  </si>
  <si>
    <t>Σ780570</t>
  </si>
  <si>
    <t>ΣΙΑΔΗΜΑ</t>
  </si>
  <si>
    <t>ΑΙ872555</t>
  </si>
  <si>
    <t>ΜΠΑΡΔΑΡΗ</t>
  </si>
  <si>
    <t>ΑΙ346157</t>
  </si>
  <si>
    <t>ΓΚΑΛΜΑΝΗ</t>
  </si>
  <si>
    <t>Χ141998</t>
  </si>
  <si>
    <t>ΑΒ987323</t>
  </si>
  <si>
    <t>ΤΑΡΣΗ</t>
  </si>
  <si>
    <t>ΑΑ468160</t>
  </si>
  <si>
    <t>ΣΟΦΙΕΛΗ</t>
  </si>
  <si>
    <t>Φ160341</t>
  </si>
  <si>
    <t>ΚΥΡΙΑΚΟΥ</t>
  </si>
  <si>
    <t>ΑΒ425242</t>
  </si>
  <si>
    <t>ΜΑΡΚΟΥ</t>
  </si>
  <si>
    <t>ΑΛΕΞΑΝΔΡΑ ΕΥΘΥΜΙΑ</t>
  </si>
  <si>
    <t>ΑΙ647151</t>
  </si>
  <si>
    <t>ΑΑ411604</t>
  </si>
  <si>
    <t>ΔΗΜΗΤΡΟΓΙΑΝΝΗ</t>
  </si>
  <si>
    <t>Ρ776484</t>
  </si>
  <si>
    <t>ΓΡΙΒΑ</t>
  </si>
  <si>
    <t>ΑΜ618784</t>
  </si>
  <si>
    <t>ΖΙΛΦΟΒΑ</t>
  </si>
  <si>
    <t>ΑΝ114221</t>
  </si>
  <si>
    <t>ΧΩΝΙΑ</t>
  </si>
  <si>
    <t>ΑΒ843995</t>
  </si>
  <si>
    <t>Πουτση</t>
  </si>
  <si>
    <t>Ηλέκτρα</t>
  </si>
  <si>
    <t>ΛΑΖΟ</t>
  </si>
  <si>
    <t>ΑΚ828771</t>
  </si>
  <si>
    <t>ΣΤΟΥΡΑΙΤΗ</t>
  </si>
  <si>
    <t>Σ416341</t>
  </si>
  <si>
    <t>ΚΡΗΜΝΙΑΝΙΩΤΟΥ</t>
  </si>
  <si>
    <t>ΑΖ647817</t>
  </si>
  <si>
    <t>ΠΑΠΟΥΤΣΟΠΟΥΛΟΥ</t>
  </si>
  <si>
    <t>ΒΙΡΓΙΝΙΑ</t>
  </si>
  <si>
    <t>ΑΖ980634</t>
  </si>
  <si>
    <t>ΧΑΛΗ</t>
  </si>
  <si>
    <t>ΑΚ107579</t>
  </si>
  <si>
    <t>ΦΩΤΕΙΝΑΚΗ</t>
  </si>
  <si>
    <t>ΑΜ771363</t>
  </si>
  <si>
    <t>ΖΑΧΑΡΑΚΗ</t>
  </si>
  <si>
    <t>ΑΟ296176</t>
  </si>
  <si>
    <t>ΠΙΣΤΙΟΛΑΣ</t>
  </si>
  <si>
    <t>ΑΕ246736</t>
  </si>
  <si>
    <t>ΘΩΜΑΗ</t>
  </si>
  <si>
    <t>Χ986307</t>
  </si>
  <si>
    <t>ΑΕ409619</t>
  </si>
  <si>
    <t>Χ866360</t>
  </si>
  <si>
    <t>ΦΕΛΛΙΟΥ</t>
  </si>
  <si>
    <t>ΑΕ038633</t>
  </si>
  <si>
    <t>ΚΑΡΑΠΙΠΕΡΗ</t>
  </si>
  <si>
    <t>ΑΜ489050</t>
  </si>
  <si>
    <t>ΑΓΑΠΗ</t>
  </si>
  <si>
    <t>ΑΝ081677</t>
  </si>
  <si>
    <t>ΠΕΝΤΕΛΗ</t>
  </si>
  <si>
    <t>ΑΝ408718</t>
  </si>
  <si>
    <t>ΚΙΤΣΟΥ</t>
  </si>
  <si>
    <t>ΑΒ744199</t>
  </si>
  <si>
    <t>ΜΠΟΥΖΑΛΑ</t>
  </si>
  <si>
    <t>ΑΜ128580</t>
  </si>
  <si>
    <t>ΣΤΥΛΑΙΝΟΣ</t>
  </si>
  <si>
    <t>ΑΒ121443</t>
  </si>
  <si>
    <t>ΙΝΤΖΙΡΤΖΗ</t>
  </si>
  <si>
    <t>ΑΖ625366</t>
  </si>
  <si>
    <t>ΑΝ136296</t>
  </si>
  <si>
    <t xml:space="preserve">ΓΚΟΥΓΚΟΥΛΟΥΔΗ </t>
  </si>
  <si>
    <t xml:space="preserve">ΕΙΡΉΝΗ-ΧΡΥΣΟΒΑΛΑΝΤΟΥ </t>
  </si>
  <si>
    <t xml:space="preserve">ΑΘΑΝΆΣΙΟΣ </t>
  </si>
  <si>
    <t>ΑΟ395413</t>
  </si>
  <si>
    <t>ΚΟΚΟΚΥΡΗ</t>
  </si>
  <si>
    <t>ΑΝ230357</t>
  </si>
  <si>
    <t>Ρ496733</t>
  </si>
  <si>
    <t>ΤΟΥΒΛΑΤΖΗ</t>
  </si>
  <si>
    <t>ΘΕΟΦΥΛΟΣ</t>
  </si>
  <si>
    <t>ΑΖ378467</t>
  </si>
  <si>
    <t>ΚΟΚΛΑ</t>
  </si>
  <si>
    <t>Ν520860</t>
  </si>
  <si>
    <t>ΜΟΥΓΙΟΥ</t>
  </si>
  <si>
    <t>Ν489955</t>
  </si>
  <si>
    <t>ΛΑΜΠΡΟΥ</t>
  </si>
  <si>
    <t>Χ360553</t>
  </si>
  <si>
    <t>ΣΟΥΦΛΙΑ</t>
  </si>
  <si>
    <t>ΑΖ270871</t>
  </si>
  <si>
    <t>Χ599971</t>
  </si>
  <si>
    <t>ΜΠΟΥΡΟΝΙΚΟΥ</t>
  </si>
  <si>
    <t>ΑΜ415713</t>
  </si>
  <si>
    <t>ΚΡΕΜΜΥΔΑ</t>
  </si>
  <si>
    <t>ΑΜ694739</t>
  </si>
  <si>
    <t>ΑΝ427599</t>
  </si>
  <si>
    <t>ΜΟΥΣΤΑΚΗ</t>
  </si>
  <si>
    <t>ΑΙ131894</t>
  </si>
  <si>
    <t>ΔΑΓΑΛΑΚΗ</t>
  </si>
  <si>
    <t>ΑΝ931584</t>
  </si>
  <si>
    <t>ΓΕΡΑΣΑΚΗ</t>
  </si>
  <si>
    <t>Τ395231</t>
  </si>
  <si>
    <t>ΛΥΤΣΟΥΔΗ</t>
  </si>
  <si>
    <t>ΑΖ374245</t>
  </si>
  <si>
    <t>ΤΗΡΑΙΔΗ</t>
  </si>
  <si>
    <t>Σ221008</t>
  </si>
  <si>
    <t>ΤΣΙΛΙΜΟΥ</t>
  </si>
  <si>
    <t>ΚΥΡΙΑΚΗ-ΜΑΡΙΑ</t>
  </si>
  <si>
    <t>Τ541652</t>
  </si>
  <si>
    <t>ΑΚ670518</t>
  </si>
  <si>
    <t>ΚΟΥΤΣΗ</t>
  </si>
  <si>
    <t>ΑΝ558061</t>
  </si>
  <si>
    <t>ΧΑΤΖΗΣ</t>
  </si>
  <si>
    <t>ΝΤΑΝΙΕΛ ΜΙΚΑΕΛ</t>
  </si>
  <si>
    <t>ΚΡΙΣΤΕΡ</t>
  </si>
  <si>
    <t>ΑΚ791876</t>
  </si>
  <si>
    <t>ΑΙ312226</t>
  </si>
  <si>
    <t>ΒΑΛΑΣΣΑΚΙ</t>
  </si>
  <si>
    <t>ΑΙ965630</t>
  </si>
  <si>
    <t>ΧΑΜΗΛΑΚΗ</t>
  </si>
  <si>
    <t>ΑΗ958260</t>
  </si>
  <si>
    <t>ΚΟΤΙΛΙΔΑ</t>
  </si>
  <si>
    <t>Χ781356</t>
  </si>
  <si>
    <t>ΠΙΠΕΡΤΖΗ</t>
  </si>
  <si>
    <t>Ρ186955</t>
  </si>
  <si>
    <t>ΔΑΡΑΜΟΥΣΚΑ</t>
  </si>
  <si>
    <t>ΑΑ024617</t>
  </si>
  <si>
    <t>ΠΕΛΕΤΗ</t>
  </si>
  <si>
    <t>Τ016139</t>
  </si>
  <si>
    <t>ΑΚ970182</t>
  </si>
  <si>
    <t>Μπατάγια</t>
  </si>
  <si>
    <t>Αθηνά</t>
  </si>
  <si>
    <t>Ευάγγελος</t>
  </si>
  <si>
    <t>ΑΗ687561</t>
  </si>
  <si>
    <t>ΑΙ040658</t>
  </si>
  <si>
    <t>ΤΣΙΩΡΟΥ</t>
  </si>
  <si>
    <t>Π441095</t>
  </si>
  <si>
    <t>ΓΟΥΓΟΥΣΗ</t>
  </si>
  <si>
    <t>ΑΑ272340</t>
  </si>
  <si>
    <t>Σ901503</t>
  </si>
  <si>
    <t>ΓΡΟΠΑΛΗΣ</t>
  </si>
  <si>
    <t>ΑΕ837221</t>
  </si>
  <si>
    <t>ΓΙΑΝΝΕΝΑ</t>
  </si>
  <si>
    <t>ΑΙ431353</t>
  </si>
  <si>
    <t>ΝΟΕΑ</t>
  </si>
  <si>
    <t>ΑΕ510758</t>
  </si>
  <si>
    <t>Ρ363836</t>
  </si>
  <si>
    <t>Σ478884</t>
  </si>
  <si>
    <t>ΚΑΠΟΥΣΗΖΗ</t>
  </si>
  <si>
    <t>ΙΟΡΔΑΝΗΣ</t>
  </si>
  <si>
    <t>ΑΗ651546</t>
  </si>
  <si>
    <t>ΔΙΑΛΕΚΤΑΚΗ</t>
  </si>
  <si>
    <t>ΑΚ472729</t>
  </si>
  <si>
    <t>ΑΗ847016</t>
  </si>
  <si>
    <t>ΑΗ247775</t>
  </si>
  <si>
    <t>ΜΠΟΥΛΟΚΩΣΤΑ</t>
  </si>
  <si>
    <t>ΑΚ423271</t>
  </si>
  <si>
    <t>ΑΖ985541</t>
  </si>
  <si>
    <t>Χ776041</t>
  </si>
  <si>
    <t>ΛΥΡΑΤΖΗ</t>
  </si>
  <si>
    <t>ΣΜΑΡΟΥΛΑ</t>
  </si>
  <si>
    <t>ΑΕ909269</t>
  </si>
  <si>
    <t>ΑΡΟΥΝΗ</t>
  </si>
  <si>
    <t>ΑΖ991076</t>
  </si>
  <si>
    <t>ΙΑΚΩΒΙΔΟΥ</t>
  </si>
  <si>
    <t>Χ950518</t>
  </si>
  <si>
    <t>ΓΑΡΥΦΑΛΛΙΔΟΥ</t>
  </si>
  <si>
    <t>ΑΗ674175</t>
  </si>
  <si>
    <t>ΡΟΥΜΟΓΛΟΥ</t>
  </si>
  <si>
    <t>ΑΗ925020</t>
  </si>
  <si>
    <t>ΤΣΑΛΜΠΟΥΡΗ</t>
  </si>
  <si>
    <t>ΑΖ306367</t>
  </si>
  <si>
    <t>ΑΖ787732</t>
  </si>
  <si>
    <t>ΤΡΙΑΝΤΟΠΟΥΛΟΥ</t>
  </si>
  <si>
    <t>ΧΡΙΣΤΙΝΑ ΜΑΡΙΑ</t>
  </si>
  <si>
    <t>ΑΗ667316</t>
  </si>
  <si>
    <t>ΣΤΡΑΛΗ</t>
  </si>
  <si>
    <t>ΑΒ119409</t>
  </si>
  <si>
    <t>ΠΙΖΙΚΛΗ</t>
  </si>
  <si>
    <t>ΚΥΠΡΙΑΝΟΣ</t>
  </si>
  <si>
    <t>Σ096838</t>
  </si>
  <si>
    <t>ΣΙΟΝΤΗ</t>
  </si>
  <si>
    <t>ΑΒ806012</t>
  </si>
  <si>
    <t>ΑΕ815960</t>
  </si>
  <si>
    <t>Ζωρζου</t>
  </si>
  <si>
    <t>Ελευθερια</t>
  </si>
  <si>
    <t>Ηλιας</t>
  </si>
  <si>
    <t>Σ112559</t>
  </si>
  <si>
    <t>ΠΑΠΑΓΕΡΑΣΙΜΟΥ</t>
  </si>
  <si>
    <t>Χ717660</t>
  </si>
  <si>
    <t>ΜΠΙΣΔΑΚΗ</t>
  </si>
  <si>
    <t>ΑΒ088334</t>
  </si>
  <si>
    <t>ΒΟΛΛΑ</t>
  </si>
  <si>
    <t>Φ036530</t>
  </si>
  <si>
    <t>Ρ236132</t>
  </si>
  <si>
    <t>ΑΑ243273</t>
  </si>
  <si>
    <t>ΑΤΜΑΤΖΙΔΗΣ</t>
  </si>
  <si>
    <t>ΑΕ844805</t>
  </si>
  <si>
    <t>ΝΟΤΑΡΙΔΟΥ</t>
  </si>
  <si>
    <t>ΑΚ908009</t>
  </si>
  <si>
    <t>ΚΑΤΣΑΟΥΝΗ</t>
  </si>
  <si>
    <t>ΑΜ323363</t>
  </si>
  <si>
    <t>Χ341999</t>
  </si>
  <si>
    <t>ΤΖΟΥΡΑ</t>
  </si>
  <si>
    <t>Χ301362</t>
  </si>
  <si>
    <t>ΑΚ911747</t>
  </si>
  <si>
    <t>ΠΡΟΚΟΠΟΥ</t>
  </si>
  <si>
    <t>ΑΝ267753</t>
  </si>
  <si>
    <t>ΜΠΙΝΙΧΑΚΗ</t>
  </si>
  <si>
    <t>ΑΚ470297</t>
  </si>
  <si>
    <t>ΠΕΡΣΕΦΟΝΗ</t>
  </si>
  <si>
    <t>Χ914100</t>
  </si>
  <si>
    <t>ΚΟΣΣΥΒΑΚΗ</t>
  </si>
  <si>
    <t>ΡΟΥΜΠΙΝΗ ΧΡΙΣΤΙΝΑ</t>
  </si>
  <si>
    <t>ΑΖ222606</t>
  </si>
  <si>
    <t>ΜΕΝΕΞΑΚΗ</t>
  </si>
  <si>
    <t>ΑΑ271859</t>
  </si>
  <si>
    <t>ΚΟΡΚΟΝΤΖΕΛΟΥ</t>
  </si>
  <si>
    <t>Ξ755791</t>
  </si>
  <si>
    <t>ΤΣΙΟΜΑΝΗ</t>
  </si>
  <si>
    <t>Σ490701</t>
  </si>
  <si>
    <t>ΚΕΜΕΝΤΖΟΠΟΥΛΟΥ</t>
  </si>
  <si>
    <t>ΠΟΛΥΔΩΡΟΣ</t>
  </si>
  <si>
    <t>ΑΙ718585</t>
  </si>
  <si>
    <t>ΑΚ961324</t>
  </si>
  <si>
    <t>ΠΑΠΑΔΑΝΕΛΛΗ</t>
  </si>
  <si>
    <t>ΧΡΥΣΑΦΕΝΙΑ</t>
  </si>
  <si>
    <t>ΑΕ494164</t>
  </si>
  <si>
    <t>ΧΑΔΙΝΗ</t>
  </si>
  <si>
    <t>ΑΙ314348</t>
  </si>
  <si>
    <t>ΣΟΥΛΗ</t>
  </si>
  <si>
    <t>ΑΕ786055</t>
  </si>
  <si>
    <t>ΑΗ284872</t>
  </si>
  <si>
    <t>ΑΒ385221</t>
  </si>
  <si>
    <t>ΚΟΥΤΣΟΥΚΟΥ</t>
  </si>
  <si>
    <t>Χ985033</t>
  </si>
  <si>
    <t>ΚΑΤΣΙΑΓΓΕΛΟΥ</t>
  </si>
  <si>
    <t>Χ990637</t>
  </si>
  <si>
    <t>ΦΡΟΥΝΤΑ</t>
  </si>
  <si>
    <t>ΑΒ380086</t>
  </si>
  <si>
    <t>ΓΡΗΓΟΡΑΚΟΥ</t>
  </si>
  <si>
    <t>ΑΗ034628</t>
  </si>
  <si>
    <t>ΣΧΟΡΕΤΣΙΑΝΙΤΗ</t>
  </si>
  <si>
    <t>ΑΒ103767</t>
  </si>
  <si>
    <t>ΚΟΡΙΖΗ</t>
  </si>
  <si>
    <t>ΑΜ098013</t>
  </si>
  <si>
    <t>ΜΕΡΣΙΝΑ</t>
  </si>
  <si>
    <t>Σ834455</t>
  </si>
  <si>
    <t>ΑΔΡΑΜΗ</t>
  </si>
  <si>
    <t>ΝΙΚΗΣΤΡΑΤΟΣ</t>
  </si>
  <si>
    <t>ΣΟ97218</t>
  </si>
  <si>
    <t>ΧΡΗΣΤΟΠΑΝΟΥ</t>
  </si>
  <si>
    <t>ΑΒ810424</t>
  </si>
  <si>
    <t>ΑΝ123921</t>
  </si>
  <si>
    <t>ΠΡΟΔΡΟΜΟΥ</t>
  </si>
  <si>
    <t>ΑΓΓΕΛΙΚΗ - ΒΑΣΙΛΙΚΗ</t>
  </si>
  <si>
    <t>ΑΕ595893</t>
  </si>
  <si>
    <t>ΑΧΙΝΙΩΤΗ</t>
  </si>
  <si>
    <t>ΑΒ088331</t>
  </si>
  <si>
    <t>ΜΑΡΓΩΝΗ</t>
  </si>
  <si>
    <t>ΑΖ244279</t>
  </si>
  <si>
    <t>ΔΑΛΗΚΡΙΑΔΟΥ</t>
  </si>
  <si>
    <t>ΑΖ402385</t>
  </si>
  <si>
    <t>ΠΑΡΑΣΚΕΥΟΥΛΑ</t>
  </si>
  <si>
    <t>ΑΙ189595</t>
  </si>
  <si>
    <t>ΚΟΥΓΙΑΝΝΟΥ</t>
  </si>
  <si>
    <t>ΑΗ269733</t>
  </si>
  <si>
    <t>ΚΥΡΓΙΔΟΥ</t>
  </si>
  <si>
    <t>Χ443501</t>
  </si>
  <si>
    <t>ΜΠΑΡΜΠΑΚΗ</t>
  </si>
  <si>
    <t>Σ778188</t>
  </si>
  <si>
    <t>ΜΑΜΩΝΑ</t>
  </si>
  <si>
    <t>Ρ250065</t>
  </si>
  <si>
    <t>ΑΖ530963</t>
  </si>
  <si>
    <t>ΜΠΟΥΤΣΑΡΑΚΗΣ</t>
  </si>
  <si>
    <t>AI464794</t>
  </si>
  <si>
    <t>ΕΦΗ</t>
  </si>
  <si>
    <t>Τ256616</t>
  </si>
  <si>
    <t>ΠΟΤΣΗ</t>
  </si>
  <si>
    <t>ΑΝ232872</t>
  </si>
  <si>
    <t>ΠΕΤΣΙΝΗ</t>
  </si>
  <si>
    <t>ΑΚ352630</t>
  </si>
  <si>
    <t>ΑΕ689395</t>
  </si>
  <si>
    <t>ΝΤΟΥΝΗ</t>
  </si>
  <si>
    <t>ΑΗ075145</t>
  </si>
  <si>
    <t>ΜΑΡΙΟΒΑ</t>
  </si>
  <si>
    <t>ΑΗ800069</t>
  </si>
  <si>
    <t>ΜΑΛΑΓΚΟΥΡΑ</t>
  </si>
  <si>
    <t>ΑΝΔΡΕΑΝΑ</t>
  </si>
  <si>
    <t>ΑΑ466975</t>
  </si>
  <si>
    <t>ΚΑΠΠΑ</t>
  </si>
  <si>
    <t>Χ037902</t>
  </si>
  <si>
    <t>ΝΤΕΛΙΑΙ</t>
  </si>
  <si>
    <t>ΕΓΚΕΡΤΑ</t>
  </si>
  <si>
    <t>ΝΤΕΛΟ</t>
  </si>
  <si>
    <t>ΑΝ136885</t>
  </si>
  <si>
    <t>ΜΠΡΟΥΛΙΑ</t>
  </si>
  <si>
    <t>Χ804843</t>
  </si>
  <si>
    <t>ΑΚ450969</t>
  </si>
  <si>
    <t>ΣΤΟΙΛΗ</t>
  </si>
  <si>
    <t>ΑΚ254666</t>
  </si>
  <si>
    <t>ΚΑΣΤΕΛΛΑΝΟΥ</t>
  </si>
  <si>
    <t>ΑΖ047626</t>
  </si>
  <si>
    <t>ΓΙΟΥΒΑΝΙΔΟΥ- ΤΖΕΜΟΥ</t>
  </si>
  <si>
    <t>ΑΝ581087</t>
  </si>
  <si>
    <t>ΑΡΓΥΡΟΠΟΥΛΟΥ</t>
  </si>
  <si>
    <t>ΑΚ337586</t>
  </si>
  <si>
    <t>Π787138</t>
  </si>
  <si>
    <t>ΚΟΝΤΙΖΑ</t>
  </si>
  <si>
    <t>Χ676799</t>
  </si>
  <si>
    <t>ΠΑΡΑΛΟΠΟΥΛΟΥ</t>
  </si>
  <si>
    <t>ΑΗ621834</t>
  </si>
  <si>
    <t>ΛΑΜΠΡΟΚΩΣΤΟΠΟΥΛΟΥ</t>
  </si>
  <si>
    <t>ΑΜ068117</t>
  </si>
  <si>
    <t>ΦΩΤΙΑΔΟΥ</t>
  </si>
  <si>
    <t>Χ574845</t>
  </si>
  <si>
    <t>ΣΤΟΦΟΡΟΥ</t>
  </si>
  <si>
    <t>ΑΖ980975</t>
  </si>
  <si>
    <t>Κακολύρη</t>
  </si>
  <si>
    <t>Βασιλική</t>
  </si>
  <si>
    <t>Βασίλειος</t>
  </si>
  <si>
    <t>ΑΜ302310</t>
  </si>
  <si>
    <t>ΛΙΑΠΗ</t>
  </si>
  <si>
    <t>ΑΝ440680</t>
  </si>
  <si>
    <t>ΕΥΑΓΓΕΛΟΔΗΜΟΥ</t>
  </si>
  <si>
    <t>ΑΒ391489</t>
  </si>
  <si>
    <t>Σ940955</t>
  </si>
  <si>
    <t>ΤΣΟΚΟΛΑ</t>
  </si>
  <si>
    <t>ΑΚ740555</t>
  </si>
  <si>
    <t>ΤΖΑΝΕΤΑΚΟΥ</t>
  </si>
  <si>
    <t>ΑΚ735511</t>
  </si>
  <si>
    <t>ΑΝΔΡΕΑΔΑΚΗ</t>
  </si>
  <si>
    <t>ΕΛΛΗ</t>
  </si>
  <si>
    <t>Ρ830160</t>
  </si>
  <si>
    <t>ΖΑΜΠΛΑΚΟΥ</t>
  </si>
  <si>
    <t>Σ434155</t>
  </si>
  <si>
    <t>ΤΣΑΓΓΑΛΑ</t>
  </si>
  <si>
    <t>Χ874797</t>
  </si>
  <si>
    <t>ΓΕΤΙΜΗ</t>
  </si>
  <si>
    <t>ΑΜ992257</t>
  </si>
  <si>
    <t>ΛΥΤΡΙΑΝΗ</t>
  </si>
  <si>
    <t>Χ407763</t>
  </si>
  <si>
    <t>ΑΚ503818</t>
  </si>
  <si>
    <t>ΣΤΙΒΑΚΤΑ</t>
  </si>
  <si>
    <t>ΑΙ977252</t>
  </si>
  <si>
    <t>ΜΕΛΛΙΟΥ</t>
  </si>
  <si>
    <t>ΑΚ983045</t>
  </si>
  <si>
    <t>ΑΛΟΥΣΗ</t>
  </si>
  <si>
    <t>Χ487736</t>
  </si>
  <si>
    <t>ΚΑΚΑΛΕ</t>
  </si>
  <si>
    <t>Χ392560</t>
  </si>
  <si>
    <t>ΑΚ372501</t>
  </si>
  <si>
    <t>ΚΟΣΜΑ</t>
  </si>
  <si>
    <t>Χ390037</t>
  </si>
  <si>
    <t>ΚΑΤΣΑΝΗ</t>
  </si>
  <si>
    <t>Σ234635</t>
  </si>
  <si>
    <t xml:space="preserve"> Δημητριάδη</t>
  </si>
  <si>
    <t>Στέλλα</t>
  </si>
  <si>
    <t>ΑΕ714572</t>
  </si>
  <si>
    <t>ΚΑΡΔΑΡΑ</t>
  </si>
  <si>
    <t>ΙΓΝΑΤΙΟΣ</t>
  </si>
  <si>
    <t>ΑΗ214518</t>
  </si>
  <si>
    <t>ΠΑΡΘΕΝΗ</t>
  </si>
  <si>
    <t>ΡΟΔΑΝΘΗ</t>
  </si>
  <si>
    <t>ΑΗ605400</t>
  </si>
  <si>
    <t>ΑΝ4071125</t>
  </si>
  <si>
    <t>ΓΑΒΡΟΠΟΥΛΟΥ</t>
  </si>
  <si>
    <t>ΔΑΜΙΑΝΟΣ</t>
  </si>
  <si>
    <t>ΑΙ151535</t>
  </si>
  <si>
    <t>ΤΑΙΓΑΝΙΔΟΥ</t>
  </si>
  <si>
    <t>ΑΖ289419</t>
  </si>
  <si>
    <t>ΜΑΓΟΥΛΗ</t>
  </si>
  <si>
    <t>ΑΚ103744</t>
  </si>
  <si>
    <t>ΓΚΑΙΤΑΤΖΗ</t>
  </si>
  <si>
    <t>ΣΕΒΑΣΤΙΑΝΗ</t>
  </si>
  <si>
    <t>ΑΧΙΛΛΕYΣ</t>
  </si>
  <si>
    <t>ΑΖ651864</t>
  </si>
  <si>
    <t>Αθανασιαδου</t>
  </si>
  <si>
    <t>ΑΙ714694</t>
  </si>
  <si>
    <t>ΣΕΪΝΤΟΠΟΥΛΟΥ</t>
  </si>
  <si>
    <t>Σ397977</t>
  </si>
  <si>
    <t>ΤΣΙΟΜΠΑΝΑΚΗ</t>
  </si>
  <si>
    <t>Χ390070</t>
  </si>
  <si>
    <t>ΕΥΘΥΜΙΟΠΟΥΛΟΥ</t>
  </si>
  <si>
    <t>ΑΙ766111</t>
  </si>
  <si>
    <t>ΔΟΛΑΨΑΚΗ</t>
  </si>
  <si>
    <t>ΑΗ967943</t>
  </si>
  <si>
    <t>ΑΖ210154</t>
  </si>
  <si>
    <t>ΜΠΙΣΙΡΗ</t>
  </si>
  <si>
    <t>Χ889608</t>
  </si>
  <si>
    <t>ΑΝΔΡΕΟΥ</t>
  </si>
  <si>
    <t>ΑΕ739709</t>
  </si>
  <si>
    <t>ΚΩΝΣΤΑΝΤΟΠΟΥΛΟΥ</t>
  </si>
  <si>
    <t>ΑΗ730959</t>
  </si>
  <si>
    <t>ΤΖΟΥΦΑ</t>
  </si>
  <si>
    <t>Σ443962</t>
  </si>
  <si>
    <t>ΔΗΜΑΡΧΟΥ</t>
  </si>
  <si>
    <t>ΑΜ005185</t>
  </si>
  <si>
    <t>ΜΑΝΤΙΝΙΩΤΗ</t>
  </si>
  <si>
    <t xml:space="preserve">ΟΛΓΑ </t>
  </si>
  <si>
    <t>ΑΗ434454</t>
  </si>
  <si>
    <t>ΑΝΤΩΝΙΑΔΟΥ</t>
  </si>
  <si>
    <t>Φ040417</t>
  </si>
  <si>
    <t>ΓΑΖΟΥ</t>
  </si>
  <si>
    <t>ΑΙ207424</t>
  </si>
  <si>
    <t>ΧΑΡΑΛΑΜΠΑΚΗ</t>
  </si>
  <si>
    <t>Ρ139826</t>
  </si>
  <si>
    <t>ΜΠΑΛΤΑΤΖΗ</t>
  </si>
  <si>
    <t>Σ315966</t>
  </si>
  <si>
    <t>ΜΑΚΡΕΛΗ</t>
  </si>
  <si>
    <t>ΕΡΜΟΛΑΟΣ</t>
  </si>
  <si>
    <t>Χ158173</t>
  </si>
  <si>
    <t>Π443267</t>
  </si>
  <si>
    <t>ΣΩΤΗΡΟΠΟΥΛΟΥ</t>
  </si>
  <si>
    <t>ΒΑΣΙΛΕΙΟ</t>
  </si>
  <si>
    <t>Ρ815138</t>
  </si>
  <si>
    <t>ΑΓΓΕΛΟΥ</t>
  </si>
  <si>
    <t>ΜΕΡΟΠΗ</t>
  </si>
  <si>
    <t>ΑΙ745770</t>
  </si>
  <si>
    <t>ΑΗ241086</t>
  </si>
  <si>
    <t>ΚΟΥΝΑΔΗ</t>
  </si>
  <si>
    <t>ΟΔΥΣΣΕΑΣ</t>
  </si>
  <si>
    <t>ΑΒ070565</t>
  </si>
  <si>
    <t>ΛΙΑΣΚΟΥ</t>
  </si>
  <si>
    <t>ΑΖ984948</t>
  </si>
  <si>
    <t>Χ310534</t>
  </si>
  <si>
    <t>ΣΟΥΡΒΙΝΟΥ</t>
  </si>
  <si>
    <t>ΑΖ254799</t>
  </si>
  <si>
    <t>ΠΕΛΑΡΓΟΥ</t>
  </si>
  <si>
    <t>ΑΕ875020</t>
  </si>
  <si>
    <t>ΚΟΥΤΣΟΥΚΗ</t>
  </si>
  <si>
    <t>ΑΕ250855</t>
  </si>
  <si>
    <t>ΝΤΗΜΟΥ</t>
  </si>
  <si>
    <t>ΑΜ398406</t>
  </si>
  <si>
    <t>ΔΑΔΙΝΟΥ</t>
  </si>
  <si>
    <t>ΑΗ679445</t>
  </si>
  <si>
    <t>ΓΚΑΝΑΤΣΙΟΥ</t>
  </si>
  <si>
    <t>ΧΑΡΟΥΛΑ</t>
  </si>
  <si>
    <t>ΑΑ239403</t>
  </si>
  <si>
    <t>ΧΑΤΖΗΑΡΓΥΡΙΟΥ</t>
  </si>
  <si>
    <t>ΑΑ438582</t>
  </si>
  <si>
    <t>ΕΓΓΛΕΖΟΥ</t>
  </si>
  <si>
    <t>ΑΗ174109</t>
  </si>
  <si>
    <t>ΑΜ757995</t>
  </si>
  <si>
    <t>ΡΟΥΔΥΝΚΛΗ</t>
  </si>
  <si>
    <t>ΑΙ351255</t>
  </si>
  <si>
    <t>Γρηγορίου</t>
  </si>
  <si>
    <t>Χρυσούλα</t>
  </si>
  <si>
    <t>ΑΗ488638</t>
  </si>
  <si>
    <t>ΒΑΡΩΝΟΥ</t>
  </si>
  <si>
    <t>ΑΑ470556</t>
  </si>
  <si>
    <t>ΤΣΙΧΛΑΚΗ</t>
  </si>
  <si>
    <t xml:space="preserve">ΜΑΡΙΑ-ΕΛΕΥΘΕΡΙΑ </t>
  </si>
  <si>
    <t>ΑΙ971726</t>
  </si>
  <si>
    <t>ΜΑΧΑΙΡΑ</t>
  </si>
  <si>
    <t>ΑΕ241166</t>
  </si>
  <si>
    <t>Γκουρτζη</t>
  </si>
  <si>
    <t>Αργυρω</t>
  </si>
  <si>
    <t>ΑΚ446949</t>
  </si>
  <si>
    <t>ΔΗΜΗΤΡΙΑΔΟΥ</t>
  </si>
  <si>
    <t>ΦΕΒΡΩΝΙΑ</t>
  </si>
  <si>
    <t>ΑΗ665703</t>
  </si>
  <si>
    <t>ΦΑΣΝΑΚΗΣ</t>
  </si>
  <si>
    <t>ΜΕΡΚΟΥΡΙΟΣ</t>
  </si>
  <si>
    <t>ΑΗ787593</t>
  </si>
  <si>
    <t>ΑΚ428924</t>
  </si>
  <si>
    <t>ΜΑΝΤΕΛΛΟΥ</t>
  </si>
  <si>
    <t>ΑΕ078981</t>
  </si>
  <si>
    <t>ΑΛΕΦΑΝΤΑΚΗ</t>
  </si>
  <si>
    <t>Φ129517</t>
  </si>
  <si>
    <t>Σταματοπουλου</t>
  </si>
  <si>
    <t>Αφροδιτη</t>
  </si>
  <si>
    <t>Αθανασιος</t>
  </si>
  <si>
    <t>ΑΙ202561</t>
  </si>
  <si>
    <t>ΡΙΖΟΥΛΗ</t>
  </si>
  <si>
    <t>ΑΟ491681</t>
  </si>
  <si>
    <t>Χ335353</t>
  </si>
  <si>
    <t>ΜΑΡΗ</t>
  </si>
  <si>
    <t>Ρ506788</t>
  </si>
  <si>
    <t>ΛΙΟΤΣΙΟΥ</t>
  </si>
  <si>
    <t>ΑΕ790514</t>
  </si>
  <si>
    <t>ΔΑΝΔΟΥΛΑΚΗ</t>
  </si>
  <si>
    <t>Χ547259</t>
  </si>
  <si>
    <t>ΚΑΜΝΟΡΟΚΗ</t>
  </si>
  <si>
    <t>ΑΕ166542</t>
  </si>
  <si>
    <t>Αλεξιαδη</t>
  </si>
  <si>
    <t>Ευγενια</t>
  </si>
  <si>
    <t>Μηνας</t>
  </si>
  <si>
    <t>ΑΕ955630</t>
  </si>
  <si>
    <t>ΑΒ016620</t>
  </si>
  <si>
    <t>ΚΩΣΤΑΝΤΙΝΟΣ</t>
  </si>
  <si>
    <t>Χ987365</t>
  </si>
  <si>
    <t>ΑΒ280483</t>
  </si>
  <si>
    <t>ΑΥΓΕΡΙΝΟΠΟΥΛΟΥ</t>
  </si>
  <si>
    <t>ΑΓΓΕΛΑΚΗΣ</t>
  </si>
  <si>
    <t>ΑΚ339489</t>
  </si>
  <si>
    <t>ΑΙ211884</t>
  </si>
  <si>
    <t>ΑΙ349336</t>
  </si>
  <si>
    <t>ΑΒΡΑΜΙΔΟΥ</t>
  </si>
  <si>
    <t>ΑΟ260579</t>
  </si>
  <si>
    <t>ΜΙΛΛΕΟΥΝΗ</t>
  </si>
  <si>
    <t>ΑΗ218667</t>
  </si>
  <si>
    <t>ΑΕ783393</t>
  </si>
  <si>
    <t>Σ369249</t>
  </si>
  <si>
    <t>ΜΑΛΦΑ</t>
  </si>
  <si>
    <t>Χ137482</t>
  </si>
  <si>
    <t>ΜΟΔΙΑΝΑΚΗΣ</t>
  </si>
  <si>
    <t>ΑΚ664445</t>
  </si>
  <si>
    <t>ΣΤΑΜΟΥΛΤΑ</t>
  </si>
  <si>
    <t>Σ788116</t>
  </si>
  <si>
    <t>ΜΑΝΤΖΑΝΑ</t>
  </si>
  <si>
    <t>ΑΚ891232</t>
  </si>
  <si>
    <t>ΠΑΤΟΥΛΙΑ</t>
  </si>
  <si>
    <t>Ρ770437</t>
  </si>
  <si>
    <t>ΠΟΥΠΟΥΡΑ</t>
  </si>
  <si>
    <t>ΜΑΡΙΑ-ΑΙΚΑΤΕΡΙΝΗ</t>
  </si>
  <si>
    <t>Τ220303</t>
  </si>
  <si>
    <t>ΠΕΠΟΝΗ</t>
  </si>
  <si>
    <t>ΜΑΥΡΟΥΔΗΣ</t>
  </si>
  <si>
    <t>Σ333917</t>
  </si>
  <si>
    <t>ΝΤΑΡΛΑΔΗΜΑ</t>
  </si>
  <si>
    <t>ΑΑ978899</t>
  </si>
  <si>
    <t>ΠΑΤΟΥΡΑ</t>
  </si>
  <si>
    <t>ΑΝ543525</t>
  </si>
  <si>
    <t>ΣΟΦΙΑΝΟΥ</t>
  </si>
  <si>
    <t>ΑΚ029616</t>
  </si>
  <si>
    <t>ΑΒ245720</t>
  </si>
  <si>
    <t>ΑΚ982450</t>
  </si>
  <si>
    <t>ΜΑΡΑΒΕΛΑΚΗ</t>
  </si>
  <si>
    <t>ΜΕΛΠΟΜΕΝΗ</t>
  </si>
  <si>
    <t>ΑΑ412876</t>
  </si>
  <si>
    <t>ΠΟΥΛΑΚΗ</t>
  </si>
  <si>
    <t>ΑΒ512553</t>
  </si>
  <si>
    <t>ΠΑΠΑΔΗΜΗΤΡΟΠΟΥΛΟΥ</t>
  </si>
  <si>
    <t>Σ882257</t>
  </si>
  <si>
    <t>ΜΗΛΕΣΗ</t>
  </si>
  <si>
    <t>ΑΝΤΩΝΙΑ-ΛΑΜΠΡΙΝΗ</t>
  </si>
  <si>
    <t>Μ559521</t>
  </si>
  <si>
    <t>ΑΒ466003</t>
  </si>
  <si>
    <t>ΚΥΡΙΑΖΙΔΟΥ</t>
  </si>
  <si>
    <t>ΑΖ905719</t>
  </si>
  <si>
    <t>ΑΝΑΣΤΑΣΙΟΥ</t>
  </si>
  <si>
    <t>ΑΑ842018</t>
  </si>
  <si>
    <t>ΚΑΛΟΓΗΡΟΥ</t>
  </si>
  <si>
    <t>ΑΗ300146</t>
  </si>
  <si>
    <t>ΜΕΡΜΥΓΚΟΥΔΗ</t>
  </si>
  <si>
    <t>ΑΒ369291</t>
  </si>
  <si>
    <t>ΔΡΑΓΑΣΙΑ</t>
  </si>
  <si>
    <t>Σ949099</t>
  </si>
  <si>
    <t>ΚΙKIΒΑΡΑΚΗ</t>
  </si>
  <si>
    <t>Τ060573</t>
  </si>
  <si>
    <t>ΠΑΠΑΜΙΧΑΗΛ</t>
  </si>
  <si>
    <t>ΓΕΩΡ</t>
  </si>
  <si>
    <t>Σ800217</t>
  </si>
  <si>
    <t>ΓΑΛΙΑΤΣΑΤΟΥ</t>
  </si>
  <si>
    <t>Χ709231</t>
  </si>
  <si>
    <t xml:space="preserve">Αθανάσιος </t>
  </si>
  <si>
    <t>Χ409789</t>
  </si>
  <si>
    <t>Π860680</t>
  </si>
  <si>
    <t>Σ599950</t>
  </si>
  <si>
    <t>ΑΒ421907</t>
  </si>
  <si>
    <t>ΚΑΦΦΕ</t>
  </si>
  <si>
    <t>ΑΝ799797</t>
  </si>
  <si>
    <t>ΑΡΙΣΤΕΙΔΟΥ</t>
  </si>
  <si>
    <t>ΑΑ923340</t>
  </si>
  <si>
    <t>ΣΑΛΤΑΤΖΟΓΛΟΥ</t>
  </si>
  <si>
    <t>ΑΚ264752</t>
  </si>
  <si>
    <t>ΓΙΑΚΟΥΜΑΤΟΥ</t>
  </si>
  <si>
    <t>ΠΑΝΑΓΗΣ</t>
  </si>
  <si>
    <t>ΑΙ511491</t>
  </si>
  <si>
    <t>ΠΑΠΑΙΩΑΝΝΟΥ</t>
  </si>
  <si>
    <t>ΑΗ492168</t>
  </si>
  <si>
    <t>ΜΑΛΕΣΗ</t>
  </si>
  <si>
    <t>ΑΕ582759</t>
  </si>
  <si>
    <t>ΑΜ308221</t>
  </si>
  <si>
    <t>ΒΟΥΘΟΥΝΗ</t>
  </si>
  <si>
    <t>ΑΒ275028</t>
  </si>
  <si>
    <t>ΠΟΛΥΚΡΕΤΗ</t>
  </si>
  <si>
    <t>ΑΗ145867</t>
  </si>
  <si>
    <t>ΒΟΥΒΟΠΟΥΛΟΥ</t>
  </si>
  <si>
    <t>Π843062</t>
  </si>
  <si>
    <t>ΦΙΝΤΑΝΙΔΟΥ</t>
  </si>
  <si>
    <t>ΑΙ869724</t>
  </si>
  <si>
    <t>ΨΥΧΟΓΙΟΥ</t>
  </si>
  <si>
    <t>Π444913</t>
  </si>
  <si>
    <t>ΧΡΥΣΗ-ΔΕΣΠΟΙΝΑ</t>
  </si>
  <si>
    <t>ΑΙ616394</t>
  </si>
  <si>
    <t>ΣΑΡΑΦΙΑΔΗ</t>
  </si>
  <si>
    <t>Χ183220</t>
  </si>
  <si>
    <t>ΤΣΑΜΑΔΙΑ</t>
  </si>
  <si>
    <t>Ρ232675</t>
  </si>
  <si>
    <t>ΑΝΔΡΙΩΤΟΥ</t>
  </si>
  <si>
    <t>ΑΗ122502</t>
  </si>
  <si>
    <t>ΑΜ600334</t>
  </si>
  <si>
    <t>ΦΟΥΣΑΡΟΥ ΜΑΛΑΜΗ</t>
  </si>
  <si>
    <t>ΑΗ703663</t>
  </si>
  <si>
    <t>ΓΕΩΡΓΙΤΣΑ</t>
  </si>
  <si>
    <t>ΦΑΝΟΥΡΙΑ ΣΟΦΙΑ</t>
  </si>
  <si>
    <t>ΑΖ035498</t>
  </si>
  <si>
    <t>ΑΜ852249</t>
  </si>
  <si>
    <t>ΑΝ182723</t>
  </si>
  <si>
    <t>ΚΑΡΑΜΠΕΚΙΟΥ</t>
  </si>
  <si>
    <t>ΑΗ583311</t>
  </si>
  <si>
    <t>ΝΙΚΟΛΑΡΟΥ</t>
  </si>
  <si>
    <t>Χ903709</t>
  </si>
  <si>
    <t>ΑΖ289169</t>
  </si>
  <si>
    <t>ΑΜΑΣΙΑΔΗ</t>
  </si>
  <si>
    <t>ΜΑΥΡΙΔΗΣ</t>
  </si>
  <si>
    <t>ΑΗ708683</t>
  </si>
  <si>
    <t>ΚΟΥΚΟΥ</t>
  </si>
  <si>
    <t>ΑΝ204697</t>
  </si>
  <si>
    <t>ΑΖ389834</t>
  </si>
  <si>
    <t>ΒΡΑΝΑ</t>
  </si>
  <si>
    <t>Σ542447</t>
  </si>
  <si>
    <t>ΚΑΣΙΜΑΤΗ</t>
  </si>
  <si>
    <t>ΕΜΜΑΝΟΥΗΛΙΑ</t>
  </si>
  <si>
    <t>Ξ916197</t>
  </si>
  <si>
    <t>ΑΙ181488</t>
  </si>
  <si>
    <t>ΠΡΙΜΠΑ</t>
  </si>
  <si>
    <t>Π147597</t>
  </si>
  <si>
    <t>ΑΕ901520</t>
  </si>
  <si>
    <t>ΣΕΦΕΡΙΑΔΟΥ</t>
  </si>
  <si>
    <t>Χ818760</t>
  </si>
  <si>
    <t>ΦΡΑΓΚΙΣΚΑΤΟΥ</t>
  </si>
  <si>
    <t>ΣΑΒΒΟΥΛΑ</t>
  </si>
  <si>
    <t>ΑΙ200952</t>
  </si>
  <si>
    <t>ΚΑΡΑΜΑΝΛΗ</t>
  </si>
  <si>
    <t>ΑΒ460856</t>
  </si>
  <si>
    <t>ΛΑΖΟΥ</t>
  </si>
  <si>
    <t>Σ785356</t>
  </si>
  <si>
    <t>ΛΗΜΝΑΙΟΥ</t>
  </si>
  <si>
    <t>ΟΜΗΡΟΣ</t>
  </si>
  <si>
    <t>Π775367</t>
  </si>
  <si>
    <t>ΚΟΚΚΙΟΥ</t>
  </si>
  <si>
    <t>Ξ624635</t>
  </si>
  <si>
    <t>Ζαρογίαννη</t>
  </si>
  <si>
    <t>Ζωή</t>
  </si>
  <si>
    <t>Κίμων</t>
  </si>
  <si>
    <t>ΑΝ348016</t>
  </si>
  <si>
    <t>ΑΙΒΑΛΗ</t>
  </si>
  <si>
    <t>ΧΡΙΣΤΙΝΑ-ΠΑΓΩΝΑ</t>
  </si>
  <si>
    <t>ΑΗ230768</t>
  </si>
  <si>
    <t>ΦΟΥΝΤΑ</t>
  </si>
  <si>
    <t>ΑΚ394237</t>
  </si>
  <si>
    <t>ΤΣΙΤΛΑΚΙΔΟΥ</t>
  </si>
  <si>
    <t>ΑΕ657045</t>
  </si>
  <si>
    <t>ΚΑΠΕΛΗ</t>
  </si>
  <si>
    <t>ΑΑ303710</t>
  </si>
  <si>
    <t>ΣΤΑΘΑΚΗ</t>
  </si>
  <si>
    <t>Χ281356</t>
  </si>
  <si>
    <t>ΠΡΟΦΗΣ</t>
  </si>
  <si>
    <t>ΑΙ517509</t>
  </si>
  <si>
    <t>ΔΕΛΙΑΝΙΔΟΥ</t>
  </si>
  <si>
    <t>ΒΙΤΑΛΙΟΣ</t>
  </si>
  <si>
    <t>ΑΗ335075</t>
  </si>
  <si>
    <t>ΑΔΑΜΑΚΗ</t>
  </si>
  <si>
    <t>ΑΕ346172</t>
  </si>
  <si>
    <t>ΦΡΑΓΚΙΔΟΥ</t>
  </si>
  <si>
    <t>ΑΙ339679</t>
  </si>
  <si>
    <t>ΔΕΜΕΤΗ</t>
  </si>
  <si>
    <t>ΑΚ845590</t>
  </si>
  <si>
    <t>ΑΜ709738</t>
  </si>
  <si>
    <t>ΕΙΡΗΝΗ ΕΥΔΟΞΙΑ</t>
  </si>
  <si>
    <t>ΑΒ908085</t>
  </si>
  <si>
    <t>ΡΟΥΜΠΟΥ</t>
  </si>
  <si>
    <t>ΠΑΤΡΑ-ΕΙΡΗΝΗ</t>
  </si>
  <si>
    <t>ΑΚ958438</t>
  </si>
  <si>
    <t>ΧΑΒΙΑΡΑ</t>
  </si>
  <si>
    <t>ΛΕΟΝΤΙΟΣ</t>
  </si>
  <si>
    <t>ΑΕ935514</t>
  </si>
  <si>
    <t>ΠΑΡΑΣΚΕΥΑ</t>
  </si>
  <si>
    <t>ΚΑΡΦΕΝΙΑ</t>
  </si>
  <si>
    <t>ΑΕ990249</t>
  </si>
  <si>
    <t>ΝΙΣΤΕΛΚΑ</t>
  </si>
  <si>
    <t>ΑΒ441376</t>
  </si>
  <si>
    <t>ΧΡΗΣΤΑΚΗ</t>
  </si>
  <si>
    <t>ΚΩΣΤΑΝΤΙΑ</t>
  </si>
  <si>
    <t>ΑΖ309473</t>
  </si>
  <si>
    <t>ΑΛΕΙΦΤΗΡΑ</t>
  </si>
  <si>
    <t>Ρ226092</t>
  </si>
  <si>
    <t>ΚΑΡΟΥΝΗ ΓΚΑΡΟΥ</t>
  </si>
  <si>
    <t>ΑΒ547538</t>
  </si>
  <si>
    <t>ΛΑΜΠΑΔΑΡΗ</t>
  </si>
  <si>
    <t>ΑΒ156160</t>
  </si>
  <si>
    <t>ΑΙ524764</t>
  </si>
  <si>
    <t>ΚΟΥΣΤΕΛΛΗ</t>
  </si>
  <si>
    <t>ΠΑΝ</t>
  </si>
  <si>
    <t>ΑΗ432138</t>
  </si>
  <si>
    <t>ΜΑΓΔΑΛΙΝΗ</t>
  </si>
  <si>
    <t>ΑΝ212937</t>
  </si>
  <si>
    <t>ΑΒ979974</t>
  </si>
  <si>
    <t>ΜΑΤΖΙΑΡΗ</t>
  </si>
  <si>
    <t>ΜΑΡΓΑΡΙΤΗΣ</t>
  </si>
  <si>
    <t>ΑΗ399171</t>
  </si>
  <si>
    <t>ΑΝ243545</t>
  </si>
  <si>
    <t>ΒΑΡΔΑΒΑ</t>
  </si>
  <si>
    <t>Τ333696</t>
  </si>
  <si>
    <t>ΣΟΥΛΑ</t>
  </si>
  <si>
    <t>ΕΣΜΕΡΑΛΝΤΑ</t>
  </si>
  <si>
    <t>ΜΟΥΧΑΡΕΜ</t>
  </si>
  <si>
    <t>ΑΚ387443</t>
  </si>
  <si>
    <t>ΡΑΠΤΗ</t>
  </si>
  <si>
    <t>Σ904343</t>
  </si>
  <si>
    <t>ΚΩΣΤΑΚΑΚΗ</t>
  </si>
  <si>
    <t>ΑΜ666481</t>
  </si>
  <si>
    <t>ΔΗΜΗΤΡΟΚΑΛΗ</t>
  </si>
  <si>
    <t>Π334785</t>
  </si>
  <si>
    <t>Ρ235698</t>
  </si>
  <si>
    <t>ΑΗ188746</t>
  </si>
  <si>
    <t>ΣΤΑΣΙΝΟΥ</t>
  </si>
  <si>
    <t>ΑΕ282242</t>
  </si>
  <si>
    <t>ΓΚΟΥΝΕΛΑ</t>
  </si>
  <si>
    <t>ΜΑΡΙΑ ΒΑΣΙΛΕΙΑ</t>
  </si>
  <si>
    <t>ΑΙ279933</t>
  </si>
  <si>
    <t>ΜΟΥΖΑΚΙΤΗ</t>
  </si>
  <si>
    <t>ΑΑ396634</t>
  </si>
  <si>
    <t>ΡΑΔΙΤΣΗ</t>
  </si>
  <si>
    <t>ΑΗ691957</t>
  </si>
  <si>
    <t>ΠΑΠΑΕΥΑΓΓΕΛΟΥ</t>
  </si>
  <si>
    <t>ΑΝ224848</t>
  </si>
  <si>
    <t>ΚΑΝΕΤΑΚΗ</t>
  </si>
  <si>
    <t>ΑΒ483626</t>
  </si>
  <si>
    <t>ΜΠΟΙΤΣΗ</t>
  </si>
  <si>
    <t>Ρ168549</t>
  </si>
  <si>
    <t>Π978743</t>
  </si>
  <si>
    <t>ΤΣΙΚΛΗΡΑ</t>
  </si>
  <si>
    <t>ΑΙ217758</t>
  </si>
  <si>
    <t>ΑΖ659683</t>
  </si>
  <si>
    <t>ΑΕ810316</t>
  </si>
  <si>
    <t>ΣΚΑΛΙΩΤΟΥ</t>
  </si>
  <si>
    <t>ΜΑΛΑΜΑ</t>
  </si>
  <si>
    <t>Σ307380</t>
  </si>
  <si>
    <t>ΚΕΣΑΝΙΩΤΗ</t>
  </si>
  <si>
    <t>ΑΗ103110</t>
  </si>
  <si>
    <t>ΣΥΝΟΔΙΝΟΥ</t>
  </si>
  <si>
    <t xml:space="preserve"> ΔΙΟΝΥΣΙΟΣ</t>
  </si>
  <si>
    <t>Χ053311</t>
  </si>
  <si>
    <t>ΡΗΓΑ</t>
  </si>
  <si>
    <t>ΑΝ538658</t>
  </si>
  <si>
    <t>ΤΣΙΝΤΣΑΡΗ</t>
  </si>
  <si>
    <t>ΠΩΛΙΝΑ</t>
  </si>
  <si>
    <t>Τ464094</t>
  </si>
  <si>
    <t>ΑΜ698408</t>
  </si>
  <si>
    <t>ΣΦΥΡΗ</t>
  </si>
  <si>
    <t>Χ257308</t>
  </si>
  <si>
    <t>ΣΤΑΜΠΟΥΛΙΔΟΥ</t>
  </si>
  <si>
    <t>ΑΑ431249</t>
  </si>
  <si>
    <t>ΜΟΙΡΑ</t>
  </si>
  <si>
    <t>ΑΜ509811</t>
  </si>
  <si>
    <t>ΓΙΑΝΝΗΣ</t>
  </si>
  <si>
    <t>ΑΙ138622</t>
  </si>
  <si>
    <t>ΣΤΕΦΟΥ</t>
  </si>
  <si>
    <t>ΑΒ094840</t>
  </si>
  <si>
    <t>ΚΥΛΙΑΚΟΥΔΗΣ</t>
  </si>
  <si>
    <t>ΑΜ203280</t>
  </si>
  <si>
    <t>ΜΙΣΚΟΥ</t>
  </si>
  <si>
    <t>ΑΖ309930</t>
  </si>
  <si>
    <t>ΤΣΙΛΙΟΠΟΥΛΟΥ</t>
  </si>
  <si>
    <t>ΑΒ887431</t>
  </si>
  <si>
    <t>ΠΙΤΣΟΥ</t>
  </si>
  <si>
    <t>ΑΚ744779</t>
  </si>
  <si>
    <t>ΑΓΟΡΙΤΣΑ</t>
  </si>
  <si>
    <t>ΑΕ995172</t>
  </si>
  <si>
    <t>ΠΑΠΑΛΙΑΚΟΥ</t>
  </si>
  <si>
    <t>Χ655340</t>
  </si>
  <si>
    <t>ΦΑΣΟΥΛΑ</t>
  </si>
  <si>
    <t>ΑΖ772610</t>
  </si>
  <si>
    <t>ΠΟΛΙΟΥ</t>
  </si>
  <si>
    <t xml:space="preserve"> ΕΛΛΗ</t>
  </si>
  <si>
    <t>ΑΝ986135</t>
  </si>
  <si>
    <t>ΒΑΜΒΑΚΗ</t>
  </si>
  <si>
    <t>ΑΒ145056</t>
  </si>
  <si>
    <t>ΑΙ674427</t>
  </si>
  <si>
    <t>ΑΒ436023</t>
  </si>
  <si>
    <t>ΙΩΑΝΝΑ - ΑΓΛΑΪΑ</t>
  </si>
  <si>
    <t>ΑΗ210409</t>
  </si>
  <si>
    <t>ΜΟΥΛΑ</t>
  </si>
  <si>
    <t xml:space="preserve">ΚΥΡΙΑΚΗ </t>
  </si>
  <si>
    <t>ΒΗΣΣΑΡΙΟΣ</t>
  </si>
  <si>
    <t>Σ917559</t>
  </si>
  <si>
    <t>ΑΝ124944</t>
  </si>
  <si>
    <t>ΑΖ419385</t>
  </si>
  <si>
    <t>ΜΠΑΜΠΑΛΗ</t>
  </si>
  <si>
    <t>ΑΖ537289</t>
  </si>
  <si>
    <t>ΧΑΤΖΑΚΗ</t>
  </si>
  <si>
    <t>ΑΕ460094</t>
  </si>
  <si>
    <t>ΑΑ308877</t>
  </si>
  <si>
    <t>ΛΑΟΥΡΔΑ</t>
  </si>
  <si>
    <t>Σ129735</t>
  </si>
  <si>
    <t>ΚΟΥΓΚΑ</t>
  </si>
  <si>
    <t>ΑΙ891315</t>
  </si>
  <si>
    <t>ΚΑΛΛΙΑΓΡΑ</t>
  </si>
  <si>
    <t>ΑΑ968779</t>
  </si>
  <si>
    <t>ΦΑΣΕΓΚΑ</t>
  </si>
  <si>
    <t>Χ410984</t>
  </si>
  <si>
    <t>ΜΠΑΤΖΩΝΗ</t>
  </si>
  <si>
    <t>ΜΑΡΙΑ ΜΑΓΔΑΛΗΝΗ</t>
  </si>
  <si>
    <t>ΑΒ725645</t>
  </si>
  <si>
    <t>ΠΑΡΣΑΝΟΥ</t>
  </si>
  <si>
    <t>ΑΚ501989</t>
  </si>
  <si>
    <t>ΒΑΣΙΛΙΚΗ ΕΥΓΕΝΙΑ</t>
  </si>
  <si>
    <t>ΑΛΕΞΙΟΣ</t>
  </si>
  <si>
    <t>ΑΕ717524</t>
  </si>
  <si>
    <t>ΣΙΝΟΥ</t>
  </si>
  <si>
    <t>Φ219412</t>
  </si>
  <si>
    <t>ΤΣΙΤΣΕ</t>
  </si>
  <si>
    <t>ΑΗ797007</t>
  </si>
  <si>
    <t>ΜΕΚΡΑ</t>
  </si>
  <si>
    <t>ΑΙ836771</t>
  </si>
  <si>
    <t>ΠΟΥΡΣΑΝΙΔΟΥ</t>
  </si>
  <si>
    <t>ΑΗ696196</t>
  </si>
  <si>
    <t>ΕΥΦΡΑΙΜΙΔΟΥ</t>
  </si>
  <si>
    <t>Φ318496</t>
  </si>
  <si>
    <t>ΤΣΙΟΥΛΑ</t>
  </si>
  <si>
    <t>ΑΗ186395</t>
  </si>
  <si>
    <t>Χ133408</t>
  </si>
  <si>
    <t>ΠΑΛΙΟΥ</t>
  </si>
  <si>
    <t>Χ892530</t>
  </si>
  <si>
    <t>ΓΑΝΤΖΟΥΔΗ</t>
  </si>
  <si>
    <t xml:space="preserve">ΑΓΛΑΪΑ </t>
  </si>
  <si>
    <t>ΑΕ330164</t>
  </si>
  <si>
    <t>ΑΕ717382</t>
  </si>
  <si>
    <t>ΘΑΝΟΠΟΥΛΟΥ</t>
  </si>
  <si>
    <t>Ρ569020</t>
  </si>
  <si>
    <t>ΑΗ704979</t>
  </si>
  <si>
    <t>ΣΚΟΚΛΗ</t>
  </si>
  <si>
    <t>ΓΙΑΓΚΟΣ</t>
  </si>
  <si>
    <t>ΑΝ767257</t>
  </si>
  <si>
    <t>Φ055665</t>
  </si>
  <si>
    <t>ΠΥΡΩΤΗ</t>
  </si>
  <si>
    <t>Σ803143</t>
  </si>
  <si>
    <t>ΓΕΡΑΓΟΡΗ</t>
  </si>
  <si>
    <t>ΑΜ760670</t>
  </si>
  <si>
    <t>ΧΡΥΣΟΥ</t>
  </si>
  <si>
    <t>ΜΑΡΟΥΣΑ</t>
  </si>
  <si>
    <t>ΑΚ540084</t>
  </si>
  <si>
    <t>ΛΙΑΚΑ</t>
  </si>
  <si>
    <t>ΑΙ735012</t>
  </si>
  <si>
    <t>ΡΟΥΓΚΑΛΑ</t>
  </si>
  <si>
    <t>ΑΒ381605</t>
  </si>
  <si>
    <t>ΚΑΛΤΕΚΗ</t>
  </si>
  <si>
    <t>ΑΙ847879</t>
  </si>
  <si>
    <t>ΑΓΓΕΛΗ</t>
  </si>
  <si>
    <t>ΑΕ726317</t>
  </si>
  <si>
    <t>ΣΤΕΦΑΝΟΠΟΥΛΟΥ</t>
  </si>
  <si>
    <t>ΑΙ145304</t>
  </si>
  <si>
    <t>ΣΕΡΓΚΕΝΛΙΔΟΥ</t>
  </si>
  <si>
    <t>ΑΕ881111</t>
  </si>
  <si>
    <t>ΝΑΤΣΙΔΟΥ</t>
  </si>
  <si>
    <t>ΑΖ912028</t>
  </si>
  <si>
    <t>ΜΙΧΑΣΟΥΡΙΔΟΥ</t>
  </si>
  <si>
    <t>Τ111591</t>
  </si>
  <si>
    <t>ΔΕΛΗΓΙΑΝΝΗ</t>
  </si>
  <si>
    <t>ΑΗ605542</t>
  </si>
  <si>
    <t>ΓΚΟΓΚΑ</t>
  </si>
  <si>
    <t>ΑΒ833676</t>
  </si>
  <si>
    <t>ΑΝΤΩΝΟΓΛΟΥ</t>
  </si>
  <si>
    <t>ΑΕ603321</t>
  </si>
  <si>
    <t>ΓΡΑΙΚΟΥ</t>
  </si>
  <si>
    <t>ΑΙ182500</t>
  </si>
  <si>
    <t>ΒΕΡΓΟΠΟΥΛΟΥ</t>
  </si>
  <si>
    <t>ΑΒ043716</t>
  </si>
  <si>
    <t>ΣΕΛΛΗΝΑ</t>
  </si>
  <si>
    <t>ΔΗΜΗΤΡΑ ΜΑΡΙΑ</t>
  </si>
  <si>
    <t>ΠΕΤΡΟΣ ΠΑΝΑΓΙΩΤΗΣ</t>
  </si>
  <si>
    <t>ΑΕ512921</t>
  </si>
  <si>
    <t>ΑΙ203204</t>
  </si>
  <si>
    <t>ΠΟΛΥΧΡΟΝΙΔΗ</t>
  </si>
  <si>
    <t>Χ958751</t>
  </si>
  <si>
    <t>ΒΕΖΥΡΙΔΟΥ</t>
  </si>
  <si>
    <t>ΧΑΡΑ</t>
  </si>
  <si>
    <t>ΣΑΜΟΥΗΛ</t>
  </si>
  <si>
    <t>ΑΜ410025</t>
  </si>
  <si>
    <t>ΣΕΡΜΠΕΖΗ</t>
  </si>
  <si>
    <t>ΑΒ127486</t>
  </si>
  <si>
    <t>Ρηγοπουλου</t>
  </si>
  <si>
    <t>ΑΗ701716</t>
  </si>
  <si>
    <t>ΚΑΣΙΚΤΣΙΔΟΥ</t>
  </si>
  <si>
    <t>ΑΝ722201</t>
  </si>
  <si>
    <t>ΣΤΕΓΚΕΒΕΡΘ</t>
  </si>
  <si>
    <t>ΜΠΕΡΝΑΡΝΤ</t>
  </si>
  <si>
    <t>ΑΚ949974</t>
  </si>
  <si>
    <t>ΛΟΥΔΑ</t>
  </si>
  <si>
    <t>ΑΙ872001</t>
  </si>
  <si>
    <t>ΕΛΕΝΗ ΜΑΡΙΑ</t>
  </si>
  <si>
    <t>ΑΗ298713</t>
  </si>
  <si>
    <t>ΕΛΕΝΗ-ΜΑΡΙΑ</t>
  </si>
  <si>
    <t>ΑΙ272539</t>
  </si>
  <si>
    <t>ΒΑΛΕΝΤΙΝΑ</t>
  </si>
  <si>
    <t>ΑΕ817481</t>
  </si>
  <si>
    <t>ΣΤΑΜΑΤΙΑΔΟΥ</t>
  </si>
  <si>
    <t>ΑΖ179343</t>
  </si>
  <si>
    <t>ΑΗ403620</t>
  </si>
  <si>
    <t>ΣΤΡΟΓΓΥΛΗ</t>
  </si>
  <si>
    <t>ΑΑ237444</t>
  </si>
  <si>
    <t>ΓΙΑΝΤΑΜΙΔΟΥ</t>
  </si>
  <si>
    <t>ΑΙ128294</t>
  </si>
  <si>
    <t>ΣΑΒΒΑΤΙΑΝΗ</t>
  </si>
  <si>
    <t>ΑΕ218198</t>
  </si>
  <si>
    <t>ΤΖΕΒΕΛΕΚΗ</t>
  </si>
  <si>
    <t>ΑΖ421721</t>
  </si>
  <si>
    <t>ΠΑΤΟΥΝΑ</t>
  </si>
  <si>
    <t>ΑΗ667184</t>
  </si>
  <si>
    <t>ΤΣΟΧΑΤΖΗ</t>
  </si>
  <si>
    <t>ΑΖ352225</t>
  </si>
  <si>
    <t>ΚΟΚΟΤΟΥ</t>
  </si>
  <si>
    <t>ΑΗ010209</t>
  </si>
  <si>
    <t>ΘΕΟΔΟΣΙΟΥ</t>
  </si>
  <si>
    <t>ΑΜ823758</t>
  </si>
  <si>
    <t>ΑΙ325905</t>
  </si>
  <si>
    <t>ΦΕΣΚΟΥ</t>
  </si>
  <si>
    <t>Τ072396</t>
  </si>
  <si>
    <t>ΣΤΡΑΤΑΚΗ</t>
  </si>
  <si>
    <t>ΑΗ463257</t>
  </si>
  <si>
    <t>ΝΙΚΟΛΕΤΟΣ</t>
  </si>
  <si>
    <t>ΑΜ182118</t>
  </si>
  <si>
    <t>ΑΗ767602</t>
  </si>
  <si>
    <t>ΝΑΚΟΥ ΣΦΗΚΑ</t>
  </si>
  <si>
    <t>ΑΚ353990</t>
  </si>
  <si>
    <t>ΓΚΟΥΝΤΩΝΗ</t>
  </si>
  <si>
    <t>ΑΗ299343</t>
  </si>
  <si>
    <t>ΚΛΑΚΑΛΑ</t>
  </si>
  <si>
    <t>Φ171178</t>
  </si>
  <si>
    <t>ΝΩΤΟΥΔΑ</t>
  </si>
  <si>
    <t>ΑΝ718045</t>
  </si>
  <si>
    <t>Χ390576</t>
  </si>
  <si>
    <t>ΠΕΚΗ</t>
  </si>
  <si>
    <t>Χ817456</t>
  </si>
  <si>
    <t>ΑΜ745611</t>
  </si>
  <si>
    <t>ΑΛΑΤΣΑ</t>
  </si>
  <si>
    <t>ΣΤΑΥΡΟΥΛΑ ΚΥΡΙΑΚΗ</t>
  </si>
  <si>
    <t>ΑΖ935391</t>
  </si>
  <si>
    <t>ΝΤΙΡΟΚΑΛΤΣΗ</t>
  </si>
  <si>
    <t>ΑΗ272395</t>
  </si>
  <si>
    <t>ΑΖ721488</t>
  </si>
  <si>
    <t>ΤΙΜΟΛΕΩΝ</t>
  </si>
  <si>
    <t>Χ277327</t>
  </si>
  <si>
    <t>ΚΟΥΣΤΙΑΝΗ</t>
  </si>
  <si>
    <t>ΑΑ942198</t>
  </si>
  <si>
    <t>ΜΠΑΝΔΕΛΗ</t>
  </si>
  <si>
    <t>ΑΑ379734</t>
  </si>
  <si>
    <t>ΜΑΡΑΣΛΗ</t>
  </si>
  <si>
    <t>ΑΙ909780</t>
  </si>
  <si>
    <t>Θεοδωρη</t>
  </si>
  <si>
    <t>Ευαγγελια</t>
  </si>
  <si>
    <t>Φ213221</t>
  </si>
  <si>
    <t>ΣΟΥΦΛΑ</t>
  </si>
  <si>
    <t>ΑΗ020764</t>
  </si>
  <si>
    <t>Ρ 809191</t>
  </si>
  <si>
    <t>ΓΙΑΚΟΥΜΙΔΟΥ</t>
  </si>
  <si>
    <t>Χ748846</t>
  </si>
  <si>
    <t>Ρ 160645</t>
  </si>
  <si>
    <t>ΑΓΓΕΛΟΠΟΥΛΟΥ ΠΑΠΑΔΟΠΟΥΛΟΥ</t>
  </si>
  <si>
    <t>ΑΙ984943</t>
  </si>
  <si>
    <t>ΧΑΡΙΣΗ</t>
  </si>
  <si>
    <t>ΕΛΕΝΗ ΕΥΔΟΞΙΑ</t>
  </si>
  <si>
    <t>ΑΗ291980</t>
  </si>
  <si>
    <t>ΑΖ505964</t>
  </si>
  <si>
    <t>ΤΣΙΠΡΑ</t>
  </si>
  <si>
    <t>ΑΜ981636</t>
  </si>
  <si>
    <t>ΧΑΧΟΛΑΚΗ</t>
  </si>
  <si>
    <t>Χ078627</t>
  </si>
  <si>
    <t>ΦΑΡΑΣΤΕΛΛΗ</t>
  </si>
  <si>
    <t>ΑΙ811937</t>
  </si>
  <si>
    <t>ΛΕΟΝΤΙΤΣΗ</t>
  </si>
  <si>
    <t>Χ960010</t>
  </si>
  <si>
    <t>ΚΑΝΕΛΛΑΚΗ</t>
  </si>
  <si>
    <t>ΑΡΙΣΤΕΑ</t>
  </si>
  <si>
    <t>Σ372794</t>
  </si>
  <si>
    <t>ΔΑΓΚΑ</t>
  </si>
  <si>
    <t>ΑΙ898854</t>
  </si>
  <si>
    <t>Ρ317736</t>
  </si>
  <si>
    <t>ΓΙΑΓΚΙΔΟΥ</t>
  </si>
  <si>
    <t>ΑΕ360551</t>
  </si>
  <si>
    <t>ΑΕ720443</t>
  </si>
  <si>
    <t>ΑΝ010868</t>
  </si>
  <si>
    <t>ΑΛΜΠΑΝΗ</t>
  </si>
  <si>
    <t>ΑΙ294336</t>
  </si>
  <si>
    <t>ΑΕ409123</t>
  </si>
  <si>
    <t>ΑΙ220433</t>
  </si>
  <si>
    <t>ΑΝΑΣΤΑΣΙΑΔΗ</t>
  </si>
  <si>
    <t>ΑΙ295791</t>
  </si>
  <si>
    <t>ΤΖΙΦΡΗ</t>
  </si>
  <si>
    <t>ΜΑΝΘΟΥΛΑ</t>
  </si>
  <si>
    <t>ΑΜ699874</t>
  </si>
  <si>
    <t>ΙΟΡΔΑΝΑ</t>
  </si>
  <si>
    <t>Σ386633</t>
  </si>
  <si>
    <t>ΓΡΑΜΜΕΝΟΥ</t>
  </si>
  <si>
    <t>ΑΜ356991</t>
  </si>
  <si>
    <t>ΚΑΡΑΤΖΙΑ</t>
  </si>
  <si>
    <t>ΑΖ917913</t>
  </si>
  <si>
    <t>ΜΑΛΤΕΖΟΥ</t>
  </si>
  <si>
    <t>ΑΚ247330</t>
  </si>
  <si>
    <t>ΚΑΡΑΜΠΑ</t>
  </si>
  <si>
    <t>Τ129263</t>
  </si>
  <si>
    <t>ΨΑΡΑΔΕΛΛΗ</t>
  </si>
  <si>
    <t>ΑΜ936795</t>
  </si>
  <si>
    <t>Σ367702</t>
  </si>
  <si>
    <t>ΚΑΛΑΜΒΟΚΗ</t>
  </si>
  <si>
    <t>ΑΙ770915</t>
  </si>
  <si>
    <t>ΕΛΡΖΙ</t>
  </si>
  <si>
    <t>ΕΛΣΑ</t>
  </si>
  <si>
    <t>ΑΔΟΥΡΙΜ</t>
  </si>
  <si>
    <t>ΑΝ879446</t>
  </si>
  <si>
    <t>ΠΑΝΤΕΛΙΑΔΟΥ</t>
  </si>
  <si>
    <t>ΑΗ815950</t>
  </si>
  <si>
    <t>ΜΟΣΧΑΜΠΑΡΗ</t>
  </si>
  <si>
    <t>ΑΒ598639</t>
  </si>
  <si>
    <t>ΣΟΥΜΕΛΙΔΟΥ</t>
  </si>
  <si>
    <t>Χ949121</t>
  </si>
  <si>
    <t>ΠΡΟΣΜΙΤΗ</t>
  </si>
  <si>
    <t>Φ287730</t>
  </si>
  <si>
    <t>ΛΥΚΟΚΩΣΤΑ</t>
  </si>
  <si>
    <t>ΑΟ352293</t>
  </si>
  <si>
    <t>ΜΑΣΤΡΟΓΙΑΝΝΙΔΟΥ</t>
  </si>
  <si>
    <t>ΑΗ051183</t>
  </si>
  <si>
    <t>ΝΟΥΣΗ</t>
  </si>
  <si>
    <t>ΑΒ808343</t>
  </si>
  <si>
    <t>Φ209883</t>
  </si>
  <si>
    <t>ΑΗ637305</t>
  </si>
  <si>
    <t>ΠΥΡΚΑΤΗ</t>
  </si>
  <si>
    <t>Χ699668</t>
  </si>
  <si>
    <t>ΝΤΟΤΣΙΚΑ</t>
  </si>
  <si>
    <t>ΑΑ379188</t>
  </si>
  <si>
    <t>ΝΤΕΛΓΚΑΝΤΟ</t>
  </si>
  <si>
    <t>ΝΤΟΜΙΓΚΟΣ</t>
  </si>
  <si>
    <t>ΑΗ068144</t>
  </si>
  <si>
    <t>ΑΖ799116</t>
  </si>
  <si>
    <t>ΚΑΡΑΤΖΗΚΑ</t>
  </si>
  <si>
    <t>ΜΑΡΙΑ-ΜΑΡΙΝΑ</t>
  </si>
  <si>
    <t>ΑΕ215849</t>
  </si>
  <si>
    <t>ΣΙΩΖIΟΥ</t>
  </si>
  <si>
    <t>Χ867832</t>
  </si>
  <si>
    <t>ΑΗ112159</t>
  </si>
  <si>
    <t>ΚΑΡΑΜΗΤΡΟΥ</t>
  </si>
  <si>
    <t>ΑΙ847329</t>
  </si>
  <si>
    <t>ΠΑΠΑΣΩΤΗΡΑ</t>
  </si>
  <si>
    <t>ΔΟΜΝΑ</t>
  </si>
  <si>
    <t>ΑΜ263268</t>
  </si>
  <si>
    <t>ΠΟΛΥΓΕΝΗ</t>
  </si>
  <si>
    <t>Χ915028</t>
  </si>
  <si>
    <t>ΒΟΥΡΛΑΚΟΥ</t>
  </si>
  <si>
    <t>Χ934305</t>
  </si>
  <si>
    <t>Σ770499</t>
  </si>
  <si>
    <t>ΑΒ226684</t>
  </si>
  <si>
    <t>ΙΑΤΡΟΠΟΥΛΟΥ</t>
  </si>
  <si>
    <t>ΑΒ075685</t>
  </si>
  <si>
    <t>ΑΗ738286</t>
  </si>
  <si>
    <t>ΑΜ514026</t>
  </si>
  <si>
    <t>ΚΟΥΤΣΑΚΗ</t>
  </si>
  <si>
    <t>ΑΗ961608</t>
  </si>
  <si>
    <t>ΑΑ263717</t>
  </si>
  <si>
    <t>ΚΑΜΠΑ</t>
  </si>
  <si>
    <t>ΑΖ559021</t>
  </si>
  <si>
    <t>ΙΜΒΡΟΓΛΟΥ</t>
  </si>
  <si>
    <t>ΑΙ197428</t>
  </si>
  <si>
    <t>ΓΚΑΡΕΛΗ</t>
  </si>
  <si>
    <t>ΡΟΙΔΟΥΛΑ</t>
  </si>
  <si>
    <t>ΑΖ820909</t>
  </si>
  <si>
    <t>ΚΟΥΡΑΚΗ</t>
  </si>
  <si>
    <t>ΑΗ460895</t>
  </si>
  <si>
    <t>Χ617164</t>
  </si>
  <si>
    <t>Χ393552</t>
  </si>
  <si>
    <t>ΜΑΓΚΟΥΤΑ</t>
  </si>
  <si>
    <t>ΑΖ477175</t>
  </si>
  <si>
    <t>ΤΣΙΤΣΑΝΗ</t>
  </si>
  <si>
    <t>Σ519208</t>
  </si>
  <si>
    <t>ΞΕΚΟΥΚΟΥΛΩΤΑΚΗ</t>
  </si>
  <si>
    <t>ΑΜ977668</t>
  </si>
  <si>
    <t>ΓΙΑΝΝΟΥΛΑΚΗ</t>
  </si>
  <si>
    <t>ΑΙ936371</t>
  </si>
  <si>
    <t>ΜΑΥΡΟΜΑΤΗ</t>
  </si>
  <si>
    <t>ΑΕ203914</t>
  </si>
  <si>
    <t>ΔΕΝΕΖΗ</t>
  </si>
  <si>
    <t>ΑΜ774080</t>
  </si>
  <si>
    <t>ΑΗ315289</t>
  </si>
  <si>
    <t>ΤΣΑΝΑΚΑ</t>
  </si>
  <si>
    <t>ΠΑΥΛΙΝΑ-ΡΑΦΑΗΛΑ</t>
  </si>
  <si>
    <t>ΑΜ364631</t>
  </si>
  <si>
    <t>ΕΥΤΑΞΙΑΔΟΥ</t>
  </si>
  <si>
    <t>ΑΙ323399</t>
  </si>
  <si>
    <t>ΑΑ479327</t>
  </si>
  <si>
    <t>ΑΝ291973</t>
  </si>
  <si>
    <t>ΑΝΑΣΤΑΣΙΑ-ΣΠΥΡΙΔΟΥΛΑ</t>
  </si>
  <si>
    <t>ΑΖ522408</t>
  </si>
  <si>
    <t>ΜΠΕΡΟΥΚΑ</t>
  </si>
  <si>
    <t>ΑΗ031586</t>
  </si>
  <si>
    <t>ΓΕΡΟΓΙΩΡΓΗ</t>
  </si>
  <si>
    <t>ΑΗ482769</t>
  </si>
  <si>
    <t>ΑΝ748363</t>
  </si>
  <si>
    <t>ΓΑΛΑΡΑ</t>
  </si>
  <si>
    <t>ΑΜ278393</t>
  </si>
  <si>
    <t>ΜΟΥΣΧΟΥΔΗ</t>
  </si>
  <si>
    <t>ΑΑ457031</t>
  </si>
  <si>
    <t>X813866</t>
  </si>
  <si>
    <t>ΠΑΠΑΔΕΑ</t>
  </si>
  <si>
    <t>ΑΟ479350</t>
  </si>
  <si>
    <t>ΑΥΓΕΡΗ</t>
  </si>
  <si>
    <t>ΙΩΑΝΝΑ-ΠΑΡΑΣΚΕΥΗ</t>
  </si>
  <si>
    <t>ΑΑ433369</t>
  </si>
  <si>
    <t>ΑΝΑΝΙΑΔΟΥ</t>
  </si>
  <si>
    <t>ΤΙΜΟΘΕΟΣ</t>
  </si>
  <si>
    <t>ΑΙ199137</t>
  </si>
  <si>
    <t>ΛΑΝΤΖΟΥ</t>
  </si>
  <si>
    <t>ΑΓΛΑIA</t>
  </si>
  <si>
    <t>ΑΖ782738</t>
  </si>
  <si>
    <t>ΖΙΜΗ</t>
  </si>
  <si>
    <t>ΑΑ259983</t>
  </si>
  <si>
    <t>ΒΑΡΓΙΑΜΙΔΟΥ</t>
  </si>
  <si>
    <t>ΑΕ927362</t>
  </si>
  <si>
    <t>ΤΣΑΚΝΗ</t>
  </si>
  <si>
    <t>ΑΕ479199</t>
  </si>
  <si>
    <t>ΜΠΑΚΡΑΤΣΑ</t>
  </si>
  <si>
    <t>ΑΙ699026</t>
  </si>
  <si>
    <t>ΑΒ859612</t>
  </si>
  <si>
    <t>ΣΙΩΡΑ</t>
  </si>
  <si>
    <t>ΑΕ733636</t>
  </si>
  <si>
    <t>ΓΙΟΥΣΙΑ</t>
  </si>
  <si>
    <t>ΑΗ771867</t>
  </si>
  <si>
    <t>ΑΑ482458</t>
  </si>
  <si>
    <t>ΤΣΑΜΠΑ</t>
  </si>
  <si>
    <t>Σ779933</t>
  </si>
  <si>
    <t>ΛΟΥΣΗ</t>
  </si>
  <si>
    <t>Τ437671</t>
  </si>
  <si>
    <t>ΠΕΣΕΡΙΔΟΥ</t>
  </si>
  <si>
    <t>ΑΝ894536</t>
  </si>
  <si>
    <t>ΦΙΛΙΠΠΙΔΗ</t>
  </si>
  <si>
    <t>Π874537</t>
  </si>
  <si>
    <t>ΑΓΓΕΛΙΚΑ</t>
  </si>
  <si>
    <t>ΑΕ941318</t>
  </si>
  <si>
    <t>ΚΑΠΛΑΝΗ</t>
  </si>
  <si>
    <t>ΑΖ803323</t>
  </si>
  <si>
    <t>ΘΕΟΠΟΥΛΑ</t>
  </si>
  <si>
    <t>Χ976967</t>
  </si>
  <si>
    <t>ΛΙΑΚΟΣ</t>
  </si>
  <si>
    <t>ΔΗΗΜΗΤΡΙΟΣ</t>
  </si>
  <si>
    <t>Σ089719</t>
  </si>
  <si>
    <t>ΑΕ093599</t>
  </si>
  <si>
    <t>ΜΠΑΤΑΤΕΓΑ</t>
  </si>
  <si>
    <t>ΑΙ848602</t>
  </si>
  <si>
    <t>ΣΗΜΕΛΑ</t>
  </si>
  <si>
    <t>ΑΑ412124</t>
  </si>
  <si>
    <t>ΣΠΑΝΟΜΑΡΙΔΟΥ</t>
  </si>
  <si>
    <t>ΑΜ702943</t>
  </si>
  <si>
    <t>ΜΑΚΡΑΚΗ</t>
  </si>
  <si>
    <t>ΜΑΡΙΑ ΣΤΕΛΛΑ</t>
  </si>
  <si>
    <t>ΑΗ850985</t>
  </si>
  <si>
    <t>ΚΑΡΜΟΙΡΑΝΤΖΟΥ</t>
  </si>
  <si>
    <t>Χ936948</t>
  </si>
  <si>
    <t>ΠΟΥΛΑΣΙΚΙΔΟΥ</t>
  </si>
  <si>
    <t>ΑΑ869840</t>
  </si>
  <si>
    <t>ΘΕΜΕΛΗ</t>
  </si>
  <si>
    <t>ΦΩΤΗΣ</t>
  </si>
  <si>
    <t>ΑΗ631264</t>
  </si>
  <si>
    <t>ΠΑΙΝΕΣΗ</t>
  </si>
  <si>
    <t>ΑΝ280125</t>
  </si>
  <si>
    <t>ΜΑΜΜΩΝΑ</t>
  </si>
  <si>
    <t>ΜΑΡΙΑ ΑΘΑΝΑΣΙΑ</t>
  </si>
  <si>
    <t>ΑΑ036502</t>
  </si>
  <si>
    <t>ΜΠΕΠΗ</t>
  </si>
  <si>
    <t>Ν502908</t>
  </si>
  <si>
    <t>ΑΚ968261</t>
  </si>
  <si>
    <t>ΒΕΣΚΟΣ</t>
  </si>
  <si>
    <t>Χ451530</t>
  </si>
  <si>
    <t>ΛΑΔΙΑ</t>
  </si>
  <si>
    <t>ΑΗ879097</t>
  </si>
  <si>
    <t>ΜΑΣΟΥΡΗ</t>
  </si>
  <si>
    <t>ΑΖ984154</t>
  </si>
  <si>
    <t>ΑΖ927309</t>
  </si>
  <si>
    <t>ΕΛΕΥΘΕΡΙΑΔΟΥ</t>
  </si>
  <si>
    <t>ΑΗ005009</t>
  </si>
  <si>
    <t>ΠΑΤΟΥΛΑ</t>
  </si>
  <si>
    <t>Ρ775191</t>
  </si>
  <si>
    <t>ΧΑΝΤΖΗ</t>
  </si>
  <si>
    <t>ΑΚ394728</t>
  </si>
  <si>
    <t>ΠΟΥΡΝΑΡΑ</t>
  </si>
  <si>
    <t>ΑΖ294521</t>
  </si>
  <si>
    <t>ΣΑΦΗ</t>
  </si>
  <si>
    <t>ΕΥΣΤΡΑΤΙΟΣ ΛΑΜΠΡΟΣ</t>
  </si>
  <si>
    <t>ΑΗ249723</t>
  </si>
  <si>
    <t>ΔΙΑΜΑΝΤΗΣ</t>
  </si>
  <si>
    <t>ΑΖ231312</t>
  </si>
  <si>
    <t>ΚΑΤΣΑΝΤΑ</t>
  </si>
  <si>
    <t>Χ961848</t>
  </si>
  <si>
    <t>ΚΟΝΤΑΡΗ</t>
  </si>
  <si>
    <t>Χ336791</t>
  </si>
  <si>
    <t>ΤΟΥΣΗ</t>
  </si>
  <si>
    <t>ΑΗ249259</t>
  </si>
  <si>
    <t>ΚΥΡΙΑΚΙΔΗΣ</t>
  </si>
  <si>
    <t>ΙΣΑΑΚ</t>
  </si>
  <si>
    <t>ΑΝ762523</t>
  </si>
  <si>
    <t>ΒΡΑΚΑ</t>
  </si>
  <si>
    <t>ΑΝ222527</t>
  </si>
  <si>
    <t>ΑΗ456848</t>
  </si>
  <si>
    <t>ΑΚ529412</t>
  </si>
  <si>
    <t>ΑΑ408646</t>
  </si>
  <si>
    <t>ΝΤΟΥΜΑΝΗ</t>
  </si>
  <si>
    <t>ΑΙ199740</t>
  </si>
  <si>
    <t>ΜΠΛΑΝΤΖΟΥΚΑ</t>
  </si>
  <si>
    <t>ΑΗ200600</t>
  </si>
  <si>
    <t>ΣΠΑΘΗ</t>
  </si>
  <si>
    <t>Χ803814</t>
  </si>
  <si>
    <t>ΠΑΠΠΑΣ</t>
  </si>
  <si>
    <t>ΑΗ133152</t>
  </si>
  <si>
    <t>ΠΑΠΑΓΕΡΙΔΟΥ</t>
  </si>
  <si>
    <t>ΑΖ792982</t>
  </si>
  <si>
    <t>ΤΣΑΓΚΑΤΟΥ</t>
  </si>
  <si>
    <t>ΑΖ937078</t>
  </si>
  <si>
    <t>ΤΣΙΜΟΥΡΤΟΥ</t>
  </si>
  <si>
    <t>Ν825222</t>
  </si>
  <si>
    <t>ΜΑΛΑΔΑΚΗ</t>
  </si>
  <si>
    <t>Ρ831138</t>
  </si>
  <si>
    <t>ΝΟΤΑ</t>
  </si>
  <si>
    <t>ΕΙΡΗΝΗ ΡΑΦΑΗΛΙΑ</t>
  </si>
  <si>
    <t>ΑΜ123224</t>
  </si>
  <si>
    <t>ΝΟΛΑ</t>
  </si>
  <si>
    <t>Χ866387</t>
  </si>
  <si>
    <t>ΚΑΨΟΚΑΒΑΔΗ</t>
  </si>
  <si>
    <t>ΑΜ598304</t>
  </si>
  <si>
    <t>ΚΑΤΡΑΝΑΚΗ</t>
  </si>
  <si>
    <t>ΑΕ536333</t>
  </si>
  <si>
    <t>ΠΕΡΑΚΗ</t>
  </si>
  <si>
    <t>ΣΤΑΥΡΩΤΗ</t>
  </si>
  <si>
    <t>Σ426530</t>
  </si>
  <si>
    <t>ΜΗΧΑΛΕ</t>
  </si>
  <si>
    <t>ΑΚ970427</t>
  </si>
  <si>
    <t>ΣΤΕΡΓΙΟΠΟΥΛΟΥ</t>
  </si>
  <si>
    <t>ΑΗ702748</t>
  </si>
  <si>
    <t>ΚΑΛΦΑ</t>
  </si>
  <si>
    <t>Χ843222</t>
  </si>
  <si>
    <t>ΑΛΥΣΑΝΔΡΑΤΟΥ</t>
  </si>
  <si>
    <t>Φ272638</t>
  </si>
  <si>
    <t>ΜΑΚΡΑ</t>
  </si>
  <si>
    <t>ΑΑ384363</t>
  </si>
  <si>
    <t>ΚΙΟΥΤΣΟΥΚΑΛΗ</t>
  </si>
  <si>
    <t>ΑΜ675228</t>
  </si>
  <si>
    <t>ΡΑΦΑΗΛΙΑ-ΡΑΧΗΛ</t>
  </si>
  <si>
    <t>ΑΗ348298</t>
  </si>
  <si>
    <t>ΑΑ106062</t>
  </si>
  <si>
    <t>ΠΕΡΓΙΑΛΗ</t>
  </si>
  <si>
    <t>ΑΒ329191</t>
  </si>
  <si>
    <t>ΤΣΟΥΤΣΟΥΡΑ</t>
  </si>
  <si>
    <t>ΧΑΡΙΚΛΕΙΑ ΜΑΡΙΑ</t>
  </si>
  <si>
    <t>ΑΚ968257</t>
  </si>
  <si>
    <t>ΑΜ665455</t>
  </si>
  <si>
    <t>ΑΒ729072</t>
  </si>
  <si>
    <t>ΚΛΑΓΚΟΥ</t>
  </si>
  <si>
    <t>ΚΛΕΟΠΑΤΡΑ</t>
  </si>
  <si>
    <t>ΑΝ295722</t>
  </si>
  <si>
    <t>ΚΑΡΑΒΟΥ</t>
  </si>
  <si>
    <t>ΚΩΝΣΤΑΝΤΙΝΑ ΠΑΝΑΓΙΩΤ</t>
  </si>
  <si>
    <t>ΑΙ117722</t>
  </si>
  <si>
    <t>ΚΟΥΜΠΟΥΣΙΔΟΥ</t>
  </si>
  <si>
    <t>ΑΒ883796</t>
  </si>
  <si>
    <t>ΚΑΡΑΝΙΚΑ</t>
  </si>
  <si>
    <t>ΑΙ289260</t>
  </si>
  <si>
    <t>ΡΗΓΑΚΗ</t>
  </si>
  <si>
    <t>Χ229520</t>
  </si>
  <si>
    <t>ΜΑΤΕΒΟΣΙΑΝ</t>
  </si>
  <si>
    <t>ΧΑΙΚ</t>
  </si>
  <si>
    <t>ΑΗ875869</t>
  </si>
  <si>
    <t>ΑΚ450137</t>
  </si>
  <si>
    <t>ΑΕ258331</t>
  </si>
  <si>
    <t>ΑΒ759642</t>
  </si>
  <si>
    <t>ΒΕΛΛΗΣ</t>
  </si>
  <si>
    <t>ΑΖ795865</t>
  </si>
  <si>
    <t>ΣΤΕΦΑΝΟΒΙΤΣ</t>
  </si>
  <si>
    <t>ΑΖ303392</t>
  </si>
  <si>
    <t>ΚΟΥΤΣΙΚΟΥΛΗ</t>
  </si>
  <si>
    <t>ΑΚ410709</t>
  </si>
  <si>
    <t>ΠΑΣΙΑΛΗ</t>
  </si>
  <si>
    <t>ΑΒ794123</t>
  </si>
  <si>
    <t>ΠΑΠΑΚΩΣΤΟΠΟΥΛΟΥ</t>
  </si>
  <si>
    <t>Ρ647847</t>
  </si>
  <si>
    <t>ΒΑΡΕΛΑ</t>
  </si>
  <si>
    <t>ΧΡΥΣΟΘΕΜΙΣ</t>
  </si>
  <si>
    <t>ΑΝ732778</t>
  </si>
  <si>
    <t>ΔΟΜΛΕΛΕ</t>
  </si>
  <si>
    <t>ΑΗ037750</t>
  </si>
  <si>
    <t>ΝΤΑΝΗ</t>
  </si>
  <si>
    <t>Χ198239</t>
  </si>
  <si>
    <t>ΕΥΓΕΝΕΙΑΔΟΥ</t>
  </si>
  <si>
    <t>ΑΖ384063</t>
  </si>
  <si>
    <t>ΔΑΜΚΑΛΗ</t>
  </si>
  <si>
    <t>ΑΗ872612</t>
  </si>
  <si>
    <t>ΡΟΜΠΟΛΑ</t>
  </si>
  <si>
    <t>ΑΜ301582</t>
  </si>
  <si>
    <t>ΤΖΙΜΑ</t>
  </si>
  <si>
    <t>ΑΜ354570</t>
  </si>
  <si>
    <t>ΧΑΥΤΑΚΟΥ</t>
  </si>
  <si>
    <t>ΑΖ731660</t>
  </si>
  <si>
    <t>ΑΗ392814</t>
  </si>
  <si>
    <t>ΝΙΚΟΠΟΥΛΟΥ</t>
  </si>
  <si>
    <t>Χ371899</t>
  </si>
  <si>
    <t>ΚΟΥΚΟΥΡΑΒΑ</t>
  </si>
  <si>
    <t>ΑΙ853163</t>
  </si>
  <si>
    <t>ΜΕΡΓΟΥ</t>
  </si>
  <si>
    <t>ΝΙΚΟΛΑΪΑ</t>
  </si>
  <si>
    <t>Ρ810234</t>
  </si>
  <si>
    <t>ΠΑΠΑΔΑΤΟΥ</t>
  </si>
  <si>
    <t>Τ276848</t>
  </si>
  <si>
    <t>ΤΣΟΥΡΗ</t>
  </si>
  <si>
    <t>Π588789</t>
  </si>
  <si>
    <t>ΚΟΥΛΙΟΥΜΠΑ</t>
  </si>
  <si>
    <t>ΑΖ812085</t>
  </si>
  <si>
    <t>ΠΟΔΙΑ</t>
  </si>
  <si>
    <t>ΑΕ431890</t>
  </si>
  <si>
    <t>ΑΜ691825</t>
  </si>
  <si>
    <t>ΚΟΝΕ</t>
  </si>
  <si>
    <t>ΑΖ566919</t>
  </si>
  <si>
    <t>ΖΑΡΑΜΠΟΥΚΑ</t>
  </si>
  <si>
    <t>ΑΖ272547</t>
  </si>
  <si>
    <t>ΚΟΚΟΛΑΚΗ</t>
  </si>
  <si>
    <t>ΑΙ456970</t>
  </si>
  <si>
    <t>ΑΕ772176</t>
  </si>
  <si>
    <t>ΑΗ784802</t>
  </si>
  <si>
    <t>ΤΑΣΟΠΟΥΛΟΥ</t>
  </si>
  <si>
    <t>ΑΕ343920</t>
  </si>
  <si>
    <t>ΑΝΔΡΕΑΣ ΓΕΩΡΓΙΟΣ</t>
  </si>
  <si>
    <t>ΑΖ756724</t>
  </si>
  <si>
    <t>ΖΑΧΑΡΕΑ</t>
  </si>
  <si>
    <t>ΑΑ448947</t>
  </si>
  <si>
    <t>ΚΑΠΕΝΗ</t>
  </si>
  <si>
    <t>ΑΜ993026</t>
  </si>
  <si>
    <t>ΓΙΑΝΝΑΚΙΔΗ</t>
  </si>
  <si>
    <t>ΑΖ491429</t>
  </si>
  <si>
    <t>ΦΑΝΤΑΟΥΤΣΑΚΗ</t>
  </si>
  <si>
    <t>ΑΙ942299</t>
  </si>
  <si>
    <t>AΓΓΕΛΙΚΗ</t>
  </si>
  <si>
    <t>Χ800245</t>
  </si>
  <si>
    <t>ΣΑΜΟΙΛΗ</t>
  </si>
  <si>
    <t>ΑΖ755659</t>
  </si>
  <si>
    <t>ΑΖ255158</t>
  </si>
  <si>
    <t>ΚΑΝΔΗΛΑΝΑΥΤΗ</t>
  </si>
  <si>
    <t>Ρ003291</t>
  </si>
  <si>
    <t>ΑΜ279130</t>
  </si>
  <si>
    <t>ΛΙΒΑΝΟΥ</t>
  </si>
  <si>
    <t>ΑΟ038757</t>
  </si>
  <si>
    <t>ΚΑΛΛΟΥΔΗ</t>
  </si>
  <si>
    <t>Σ826839</t>
  </si>
  <si>
    <t>ΚΑΛΑΝΔΡΙΑ</t>
  </si>
  <si>
    <t>ΜΑΡΚΟΣ</t>
  </si>
  <si>
    <t>ΑΗ760130</t>
  </si>
  <si>
    <t>ΑΡΑΠΙΔΟΥ</t>
  </si>
  <si>
    <t>ΠΡΟΜΗΘΕΑΣ</t>
  </si>
  <si>
    <t>ΑΗ880724</t>
  </si>
  <si>
    <t>ΤΣΙΡΙΜΠΑΣΗ</t>
  </si>
  <si>
    <t>ΑΚ988614</t>
  </si>
  <si>
    <t>ΝΤΑΜΠΟΥ</t>
  </si>
  <si>
    <t>Σ713199</t>
  </si>
  <si>
    <t xml:space="preserve">ΣΙΑΝΑΒΑ </t>
  </si>
  <si>
    <t xml:space="preserve">ΔΗΜΗΤΡΙΟΣ </t>
  </si>
  <si>
    <t>ΑΑ063379</t>
  </si>
  <si>
    <t>ΚΑΡΤΣΙΜΑΔΑΚΗ</t>
  </si>
  <si>
    <t>ΑΖ506391</t>
  </si>
  <si>
    <t>ΑΖ058821</t>
  </si>
  <si>
    <t>Χ966293</t>
  </si>
  <si>
    <t>ΜΠΛΙΑΤΣΙΔΟΥ</t>
  </si>
  <si>
    <t>ΑΑ450024</t>
  </si>
  <si>
    <t>ΣΑΚΚΑΣ</t>
  </si>
  <si>
    <t>ΑΚ902536</t>
  </si>
  <si>
    <t>ΑΙ735361</t>
  </si>
  <si>
    <t>ΑΙ722843</t>
  </si>
  <si>
    <t>ΧΑΛΟΥΛΑ</t>
  </si>
  <si>
    <t>ΑΖ340718</t>
  </si>
  <si>
    <t>ΞΕΝΟΠΟΥΛΟΥ</t>
  </si>
  <si>
    <t>ΤΑΣΙΑ</t>
  </si>
  <si>
    <t>ΑΙ675330</t>
  </si>
  <si>
    <t>ΜΠΟΥΝΑ</t>
  </si>
  <si>
    <t>ΑΝΙΣΑ</t>
  </si>
  <si>
    <t>ΜΠΟΥΓΙΑΜΗΝ</t>
  </si>
  <si>
    <t>ΑΚ972150</t>
  </si>
  <si>
    <t>Δημητριάδης</t>
  </si>
  <si>
    <t>Νικόλαοσ</t>
  </si>
  <si>
    <t>Φ308259</t>
  </si>
  <si>
    <t>ΓΑΖΗ</t>
  </si>
  <si>
    <t>ΑΝ157569</t>
  </si>
  <si>
    <t>ΠΑΥΛΗ</t>
  </si>
  <si>
    <t>Τ437676</t>
  </si>
  <si>
    <t>ΧΕΙΛΑΡΗ</t>
  </si>
  <si>
    <t>ΑΗ723296</t>
  </si>
  <si>
    <t>ΓΚΙΟΚΑ</t>
  </si>
  <si>
    <t>ΑΒ243365</t>
  </si>
  <si>
    <t>ΑΙ844587</t>
  </si>
  <si>
    <t>ΑΣΘΕΡΙΑΝΝΑ</t>
  </si>
  <si>
    <t>ΜΠΟΤΣΗ</t>
  </si>
  <si>
    <t>ΑΚ558786</t>
  </si>
  <si>
    <t>ΜΙΧΑΛΟΥ</t>
  </si>
  <si>
    <t>ΔΗΜΗΤΡΑ ΝΙΚΟΛΕΤΤΑ</t>
  </si>
  <si>
    <t>ΑΖ020123</t>
  </si>
  <si>
    <t>ΣΑΛΑΜΟΥΡΑ</t>
  </si>
  <si>
    <t>ΑΙ816729</t>
  </si>
  <si>
    <t>ΚΟΥΚΟΥΡΑΚΗ</t>
  </si>
  <si>
    <t>ΕΛΕΑΝΝΑ</t>
  </si>
  <si>
    <t>ΑΜ479543</t>
  </si>
  <si>
    <t>ΑΙ799909</t>
  </si>
  <si>
    <t>ΑΙ312022</t>
  </si>
  <si>
    <t>ΛΙΟΥΛΙΟΥ</t>
  </si>
  <si>
    <t>ΑΕ800033</t>
  </si>
  <si>
    <t>ΚΑΛΕΣΟΓΛΟΥ</t>
  </si>
  <si>
    <t>ΑΙ482003</t>
  </si>
  <si>
    <t>ΜΑΡΚΟΥΔΗ</t>
  </si>
  <si>
    <t>ΑΗ413163</t>
  </si>
  <si>
    <t>ΒΙΝΙΕΡΑΤΟΥ</t>
  </si>
  <si>
    <t>Χ140815</t>
  </si>
  <si>
    <t>ΣΠΟΥΡΙΤΑ</t>
  </si>
  <si>
    <t>Χ464456</t>
  </si>
  <si>
    <t>ΓΚΟΥΝΤΟΒΑ</t>
  </si>
  <si>
    <t>ΑΜ367196</t>
  </si>
  <si>
    <t>ΣΙΑΚΑΒΑΡΑ</t>
  </si>
  <si>
    <t>ΑΗ267324</t>
  </si>
  <si>
    <t>ΠΑΝΟΥΤΣΟΥ</t>
  </si>
  <si>
    <t>ΓΡΑΜΜΑΤΙΚΗ</t>
  </si>
  <si>
    <t>ΑΗ044802</t>
  </si>
  <si>
    <t>ΛΑΓΙΔΟΥ</t>
  </si>
  <si>
    <t>ΑΒ686059</t>
  </si>
  <si>
    <t>ΤΣΙΑΓΙΑ</t>
  </si>
  <si>
    <t>ΑΙ326937</t>
  </si>
  <si>
    <t>ΤΡΙΑΝΤΑΦΥΛΛΟΠΟΥΛΟΥ</t>
  </si>
  <si>
    <t>Τ057707</t>
  </si>
  <si>
    <t>ΧΑΡΙΤΟΥ</t>
  </si>
  <si>
    <t>ΑΖ932829</t>
  </si>
  <si>
    <t>ΑΕ556566</t>
  </si>
  <si>
    <t>ΧΡΙΣΤΟΣ</t>
  </si>
  <si>
    <t>ΑΙ753861</t>
  </si>
  <si>
    <t>Χ378982</t>
  </si>
  <si>
    <t>ΣΑΓΙΑΝΝΗ</t>
  </si>
  <si>
    <t>ΑΚ017848</t>
  </si>
  <si>
    <t>ΚΑΤΣΟΥΔΑ</t>
  </si>
  <si>
    <t>Σ466409</t>
  </si>
  <si>
    <t>ΔΡΑΚΑΚΗΣ</t>
  </si>
  <si>
    <t>ΑΜ700658</t>
  </si>
  <si>
    <t>Χ590204</t>
  </si>
  <si>
    <t>ΜΟΤΑΚΗ</t>
  </si>
  <si>
    <t>ΑΛΕΞΑΝΔΡΑ ΑΡΤΕΜΗΣΙΑ</t>
  </si>
  <si>
    <t>Χ494003</t>
  </si>
  <si>
    <t>ΡΕΒΥΘΗ</t>
  </si>
  <si>
    <t>Σ834950</t>
  </si>
  <si>
    <t>ΔΟΥΛΓΕΡΑΚΗ</t>
  </si>
  <si>
    <t>ΜΥΡΤΖΙΑΝΗ ΣΤΕΦΑΝΙΑ</t>
  </si>
  <si>
    <t>Χ966298</t>
  </si>
  <si>
    <t>ΜΥΣΤΑΚΙΔΟΥ</t>
  </si>
  <si>
    <t>ΑΗ365860</t>
  </si>
  <si>
    <t xml:space="preserve">ΙΑΤΡΟΎ </t>
  </si>
  <si>
    <t>ΘΕΟΔΏΡΑ</t>
  </si>
  <si>
    <t>ΧΑΡΆΛΑΜΠΟΣ</t>
  </si>
  <si>
    <t>ΑΙ002396</t>
  </si>
  <si>
    <t>ΜΠΑΝΤΑΛΙΔΟΥ</t>
  </si>
  <si>
    <t>ΛΙΑΝΑ</t>
  </si>
  <si>
    <t>ΑΑ761975</t>
  </si>
  <si>
    <t>ΑΛΕΞΟΥΔΑΚΗ</t>
  </si>
  <si>
    <t>Ν915542</t>
  </si>
  <si>
    <t>ΑΖ649065</t>
  </si>
  <si>
    <t>ΔΟΥΛΦΗ</t>
  </si>
  <si>
    <t>ΑΖ552297</t>
  </si>
  <si>
    <t>ΚΑΡΑΓΙΑΝΝΗ-ΚΑΡΦΗ</t>
  </si>
  <si>
    <t>ΑΚ333403</t>
  </si>
  <si>
    <t>ΖΩΝΙΟΥ</t>
  </si>
  <si>
    <t>ΑΚ158663</t>
  </si>
  <si>
    <t>ΦΥΤΑ</t>
  </si>
  <si>
    <t>ΑΗ122925</t>
  </si>
  <si>
    <t>ΛΕΝΤΖΟΥ</t>
  </si>
  <si>
    <t>ΑΒ092245</t>
  </si>
  <si>
    <t>ΣΙΣΚΟΥ</t>
  </si>
  <si>
    <t xml:space="preserve"> ΣΟΥΛΤΑΝΑ</t>
  </si>
  <si>
    <t>ΑΝ763663</t>
  </si>
  <si>
    <t>ΑΑ431466</t>
  </si>
  <si>
    <t>ΜΑΝΙΑΤΑΚΟΥ</t>
  </si>
  <si>
    <t>ΑΕ752995</t>
  </si>
  <si>
    <t>ΛΟΥΚΑΔΑΚΗ</t>
  </si>
  <si>
    <t>ΑΝ466009</t>
  </si>
  <si>
    <t>ΑΡΒΑΝΙΤΟΥΔΗ</t>
  </si>
  <si>
    <t>ΑΑ456292</t>
  </si>
  <si>
    <t>ΚΟΥΒΑΤΣΟΥ</t>
  </si>
  <si>
    <t>ΑΜ519034</t>
  </si>
  <si>
    <t>ΒΕΡΖΑΝΛΗ</t>
  </si>
  <si>
    <t>ΑΗ841200</t>
  </si>
  <si>
    <t xml:space="preserve">ΚΡΗΤΙΚΟΠΟΥΛΟΥ </t>
  </si>
  <si>
    <t>ΑΜ262283</t>
  </si>
  <si>
    <t>ΝΕΚΤΑΡΙΑ-ΒΑΣΙΛΙΚΗ</t>
  </si>
  <si>
    <t>ΑΕ092002</t>
  </si>
  <si>
    <t>ΑΜ099710</t>
  </si>
  <si>
    <t>ΒΛΑΧΟΔΗΜΗΤΡΗ</t>
  </si>
  <si>
    <t>ΑΕ267597</t>
  </si>
  <si>
    <t>ΒΙΤΣΙΟΥ</t>
  </si>
  <si>
    <t>ΑΖ039947</t>
  </si>
  <si>
    <t>ΓΚΙΩΝΗ</t>
  </si>
  <si>
    <t>ΑΗ213194</t>
  </si>
  <si>
    <t>ΓΕΩΡΓΟΛΟΠΟΥΛΟΥ</t>
  </si>
  <si>
    <t>ΑΗ769517</t>
  </si>
  <si>
    <t>ΜΑΝΩΛΟΠΟΥΛΟΥ</t>
  </si>
  <si>
    <t>ΑΙ230616</t>
  </si>
  <si>
    <t>ΣΟΥΛΤΑΝΑ ΕΙΡΗΝΗ</t>
  </si>
  <si>
    <t>ΑΖ798317</t>
  </si>
  <si>
    <t>ΠΡΑΠΠΑ</t>
  </si>
  <si>
    <t>Χ481702</t>
  </si>
  <si>
    <t xml:space="preserve">Ζαχαρια </t>
  </si>
  <si>
    <t>Αθήνα Βασιλικη</t>
  </si>
  <si>
    <t>Ευαγγελος</t>
  </si>
  <si>
    <t>Χ234711</t>
  </si>
  <si>
    <t>ΚΑΡΑΚΕΙΣΟΓΛΟΥ</t>
  </si>
  <si>
    <t>ΑΚ446595</t>
  </si>
  <si>
    <t>ΠΑΠΑΚΩΣΤΑ</t>
  </si>
  <si>
    <t>Φ146353</t>
  </si>
  <si>
    <t>ΑΒ210280</t>
  </si>
  <si>
    <t>ΑΝΥΦΑΝΤΑΚΗ</t>
  </si>
  <si>
    <t>ΑΖ960298</t>
  </si>
  <si>
    <t>ΤΣΙΑΚΑΛΟΥ</t>
  </si>
  <si>
    <t>ΜΑΡΙΑ ΑΝΤΙΓΟΝΗ</t>
  </si>
  <si>
    <t>ΑΝ761140</t>
  </si>
  <si>
    <t>ΑΖ442084</t>
  </si>
  <si>
    <t>ΖΑΛΑΩΡΑ</t>
  </si>
  <si>
    <t>Σ985846</t>
  </si>
  <si>
    <t>Φεσκου</t>
  </si>
  <si>
    <t>Αγγελικη</t>
  </si>
  <si>
    <t>ΑΚ698528</t>
  </si>
  <si>
    <t>ΣΟΥΡΒΑΝΟΥ</t>
  </si>
  <si>
    <t>ΧΡΥΣΟΥΛΑ-ΑΘΗΝΑ</t>
  </si>
  <si>
    <t>Χ879242</t>
  </si>
  <si>
    <t>ΑΗ623938</t>
  </si>
  <si>
    <t>ΛΕΛΙΟΠΟΥΛΟΥ</t>
  </si>
  <si>
    <t>ΑΖ426363</t>
  </si>
  <si>
    <t>ΑΑ468053</t>
  </si>
  <si>
    <t>ΝΤΕΛΕΔΗΜΟΥ</t>
  </si>
  <si>
    <t>ΑΙ302731</t>
  </si>
  <si>
    <t>ΚΑΤΣΑΝΑΚΗ</t>
  </si>
  <si>
    <t>Χ179654</t>
  </si>
  <si>
    <t>ΑΠΕΡΓΗ</t>
  </si>
  <si>
    <t>ΑΑ074323</t>
  </si>
  <si>
    <t>ΒΕΗ</t>
  </si>
  <si>
    <t>ΑΜ239844</t>
  </si>
  <si>
    <t>Ρ441451</t>
  </si>
  <si>
    <t>Λιόκουρα</t>
  </si>
  <si>
    <t>Ελένη</t>
  </si>
  <si>
    <t>Αντώνιος</t>
  </si>
  <si>
    <t>ΑΝ080447</t>
  </si>
  <si>
    <t>ΠΑΛΠΑΝΗ</t>
  </si>
  <si>
    <t>ΡΑΦΑΕΛΑ-ΔΕΣΠΟΙΝΑ</t>
  </si>
  <si>
    <t>ΑΒ111093</t>
  </si>
  <si>
    <t>ΣΟΥΛΑΙ</t>
  </si>
  <si>
    <t>ΕΓΚΛΙ</t>
  </si>
  <si>
    <t>ΙΛΙΡ</t>
  </si>
  <si>
    <t>ΑΜ967456</t>
  </si>
  <si>
    <t>ΚΥΡΙΑΖΗ</t>
  </si>
  <si>
    <t>Σ103622</t>
  </si>
  <si>
    <t>ΣΕΒΑΣΤΟΥ</t>
  </si>
  <si>
    <t>ΑΓΓΕΛΙΚΗ ΕΙΡΗΝΗ</t>
  </si>
  <si>
    <t>Χ164267</t>
  </si>
  <si>
    <t>Ξ712601</t>
  </si>
  <si>
    <t>ΚΟΥΤΣΙΟΓΚΟΥΛΟΥ</t>
  </si>
  <si>
    <t>ΑΑ393840</t>
  </si>
  <si>
    <t>ΜΑΥΡΟΠΟΥΛΟΥ</t>
  </si>
  <si>
    <t>ΑΝ910189</t>
  </si>
  <si>
    <t>ΑΘΗΝΕΛΛΗ</t>
  </si>
  <si>
    <t>ΑΖ927607</t>
  </si>
  <si>
    <t>ΣΑΚΙΖΛΗ</t>
  </si>
  <si>
    <t>ΑΖ866713</t>
  </si>
  <si>
    <t>ΑΙ833807</t>
  </si>
  <si>
    <t>ΑΕ369866</t>
  </si>
  <si>
    <t>ΜΟΥΔΑΤΣΟΥ</t>
  </si>
  <si>
    <t>ΓΕΩΡΓΙΑ ΙΣΜΗΝΗ</t>
  </si>
  <si>
    <t>ΑΕ970624</t>
  </si>
  <si>
    <t>ΑΛΕΚΤΟΡΙΔΟΥ</t>
  </si>
  <si>
    <t>ΑΕ862004</t>
  </si>
  <si>
    <t>ΑΥΓΕΡΙΝΟΥΔΗ</t>
  </si>
  <si>
    <t>Χ593348</t>
  </si>
  <si>
    <t>ΛΙΑΧΟΠΟΥΛΟΥ</t>
  </si>
  <si>
    <t>ΜΑΡΙΑ ΑΝΤΩΝΙΑ</t>
  </si>
  <si>
    <t>ΑΙ336045</t>
  </si>
  <si>
    <t>ΧΑΪΔΟΥ</t>
  </si>
  <si>
    <t>ΑΚ982629</t>
  </si>
  <si>
    <t>ΚΑΡΑΘΑΝΑΣΟΠΟΥΛΟΣ</t>
  </si>
  <si>
    <t>ΑΒ754100</t>
  </si>
  <si>
    <t>ΚΡΥΣΤΑΛΛΗ</t>
  </si>
  <si>
    <t>ΑΖ881212</t>
  </si>
  <si>
    <t>ΑΖ545630</t>
  </si>
  <si>
    <t>ΚΑΛΟΓΗΡΟΥ ΛΟΥΜΙΤΗ</t>
  </si>
  <si>
    <t>Μελισσάνδρα</t>
  </si>
  <si>
    <t>ΑΙ539415</t>
  </si>
  <si>
    <t>ΜΠΡΑΓΚΟΒΙΤΣ</t>
  </si>
  <si>
    <t>ΑΑ462712</t>
  </si>
  <si>
    <t>ΓΚΙΖΛΗ</t>
  </si>
  <si>
    <t>ΑΑ970346</t>
  </si>
  <si>
    <t>ΑΝ763980</t>
  </si>
  <si>
    <t>ΒΛΑΣΣΟΠΟΥΛΟΥ</t>
  </si>
  <si>
    <t>ΕΥΑΓΓΕΛΙΑ ΑΡΓΥΡΩ</t>
  </si>
  <si>
    <t>ΑΙ059523</t>
  </si>
  <si>
    <t>ΑΑ232881</t>
  </si>
  <si>
    <t>ΚΡΟΓΓΟΥ</t>
  </si>
  <si>
    <t>ΑΚ473906</t>
  </si>
  <si>
    <t>ΤΣΙΟΜΠΑΝΟΥΔΗ</t>
  </si>
  <si>
    <t>ΑΕ922557</t>
  </si>
  <si>
    <t>ΑΚ696289</t>
  </si>
  <si>
    <t>ΧΟΥΣΑΝΛΗ</t>
  </si>
  <si>
    <t>ΜΙΧΑΕΛΑ</t>
  </si>
  <si>
    <t>ΑΝΑΓΝΩΣΤΗΣ</t>
  </si>
  <si>
    <t>ΑΒ461538</t>
  </si>
  <si>
    <t>ΚΩΝΣΤΑΝΙΝΑ</t>
  </si>
  <si>
    <t>ΑΙ460738</t>
  </si>
  <si>
    <t>ΜΑΤΖΟΥ</t>
  </si>
  <si>
    <t>ΑΗ303196</t>
  </si>
  <si>
    <t>ΑΡΝΑΟΥΤΗ</t>
  </si>
  <si>
    <t>ΑΗ232336</t>
  </si>
  <si>
    <t>ΤΣΑΟΥΣΗ</t>
  </si>
  <si>
    <t>ΑΚ370728</t>
  </si>
  <si>
    <t>ΑΑ480344</t>
  </si>
  <si>
    <t>ΒΑΡΟΥΧΑ</t>
  </si>
  <si>
    <t>ΑΔΡΙΑΝΗ</t>
  </si>
  <si>
    <t>ΑΖ460666</t>
  </si>
  <si>
    <t>ΡΕΤΣΙΔΟΥ</t>
  </si>
  <si>
    <t>ΑΚ450697</t>
  </si>
  <si>
    <t>ΑΝ417825</t>
  </si>
  <si>
    <t>ΚΑΠΕΤΑΝΙΟΥ</t>
  </si>
  <si>
    <t>ΑΗ625069</t>
  </si>
  <si>
    <t>ΚΟΒΟΥΣΟΓΛΟΥ</t>
  </si>
  <si>
    <t>ΑΖ268688</t>
  </si>
  <si>
    <t>Καπετανίδου</t>
  </si>
  <si>
    <t>Πέτρος</t>
  </si>
  <si>
    <t>Χ783276</t>
  </si>
  <si>
    <t>ΑΜΠΑΡΑ</t>
  </si>
  <si>
    <t>ΑΜΠΑΡΑΣ</t>
  </si>
  <si>
    <t>ΑΕ368312</t>
  </si>
  <si>
    <t>ΑΖ363647</t>
  </si>
  <si>
    <t>ΑΖ548311</t>
  </si>
  <si>
    <t>Ξ706816</t>
  </si>
  <si>
    <t>ΚΟΡΠΑΛΗ</t>
  </si>
  <si>
    <t>Χ449492</t>
  </si>
  <si>
    <t>ΧΑΒΑΛΙΝΑ</t>
  </si>
  <si>
    <t>ΑΝ809064</t>
  </si>
  <si>
    <t>Σ355084</t>
  </si>
  <si>
    <t>ΚΑΝΝΑ</t>
  </si>
  <si>
    <t>ΑΕ745296</t>
  </si>
  <si>
    <t>ΚΑΡΑΚΩΝΣΤΑΝΤΗ</t>
  </si>
  <si>
    <t>ΑΗ090146</t>
  </si>
  <si>
    <t>ΑΙ521889</t>
  </si>
  <si>
    <t xml:space="preserve">ΖΟΥΛΗ </t>
  </si>
  <si>
    <t xml:space="preserve">ΦΩΤΙΚΑ ΦΩΤΕΙΝΗ </t>
  </si>
  <si>
    <t>ΖΗΣΟΣ</t>
  </si>
  <si>
    <t>ΑΖ496581</t>
  </si>
  <si>
    <t>ΣΤΑΣΙΝΟΠΟΥΛΟΥ</t>
  </si>
  <si>
    <t>ΑΖ553552</t>
  </si>
  <si>
    <t>ΣΤΑΥΡΙΑΝΟΥΔΑΚΗ</t>
  </si>
  <si>
    <t>ΑΙ031373</t>
  </si>
  <si>
    <t>ΜΠΕΤΕΝΙΟΥ</t>
  </si>
  <si>
    <t>ΑΒ491087</t>
  </si>
  <si>
    <t>ΑΖ761845</t>
  </si>
  <si>
    <t>ΤΣΟΥΝΑΚΑ</t>
  </si>
  <si>
    <t>ΝΑΠΟΛΕΩΝ</t>
  </si>
  <si>
    <t>ΑΕ729398</t>
  </si>
  <si>
    <t>ΑΑ310386</t>
  </si>
  <si>
    <t>ΠΛΙΟΥΜΠΗ</t>
  </si>
  <si>
    <t>ΑΜ858477</t>
  </si>
  <si>
    <t>ΧΡΙΣΤΟΥΛΑΚΗ</t>
  </si>
  <si>
    <t>ΑΖ973134</t>
  </si>
  <si>
    <t>ΜΑΚΡΙΔΟΥ</t>
  </si>
  <si>
    <t xml:space="preserve">ΣΤΑΜΑΤΙΑ </t>
  </si>
  <si>
    <t>ΑΙ905494</t>
  </si>
  <si>
    <t>Χ884293</t>
  </si>
  <si>
    <t>ΑΝΕΣΤΑΚΗ</t>
  </si>
  <si>
    <t>ΑΚ865280</t>
  </si>
  <si>
    <t>ΠΕΤΡΙΔΗ</t>
  </si>
  <si>
    <t>ΑΚ575995</t>
  </si>
  <si>
    <t>ΓΚΙΡΙΤΛΗ</t>
  </si>
  <si>
    <t>ΤΖΑΝΑΝ</t>
  </si>
  <si>
    <t>ΙΛΜΗ</t>
  </si>
  <si>
    <t>ΑΖ441567</t>
  </si>
  <si>
    <t>ΤΕΜΙΡΑΧΙΔΟΥ</t>
  </si>
  <si>
    <t>ΑΕ903720</t>
  </si>
  <si>
    <t>ΑΝΝΙΤΑ</t>
  </si>
  <si>
    <t>Χ485344</t>
  </si>
  <si>
    <t>ΑΜ160821</t>
  </si>
  <si>
    <t>ΚΑΝΑΤΑ</t>
  </si>
  <si>
    <t>ΙΩΑΝΝΑ ΕΙΡΗΝΗ</t>
  </si>
  <si>
    <t>ΑΑ351381</t>
  </si>
  <si>
    <t>ΦΥΛΑΚΤΑΚΗ</t>
  </si>
  <si>
    <t>ΑΒ730006</t>
  </si>
  <si>
    <t>ΤΖΑΒΑΡΑ</t>
  </si>
  <si>
    <t>ΑΝ817263</t>
  </si>
  <si>
    <t>ΣΙΩΚΟΥ</t>
  </si>
  <si>
    <t>Ν779854</t>
  </si>
  <si>
    <t>Χ804435</t>
  </si>
  <si>
    <t>Χ186063</t>
  </si>
  <si>
    <t>ΑΗ669862</t>
  </si>
  <si>
    <t>ΚΑΧΙΡΜΑΝΗ</t>
  </si>
  <si>
    <t>ΑΝ717958</t>
  </si>
  <si>
    <t>Αθανασίου</t>
  </si>
  <si>
    <t>Κλεοπάτρα</t>
  </si>
  <si>
    <t>Αθανάσιος</t>
  </si>
  <si>
    <t>ΑΒ421604</t>
  </si>
  <si>
    <t>ΚΑΚΟΔΕΙΠΝΑΚΗ</t>
  </si>
  <si>
    <t>ΑΕ963376</t>
  </si>
  <si>
    <t>ΠΕΡΒΟΛΑΡΑΚΗ</t>
  </si>
  <si>
    <t>ΜΥΡΟΔΑΝΘΗ</t>
  </si>
  <si>
    <t>Σ464257</t>
  </si>
  <si>
    <t>ΒΑΜΒΟΥΡΗ</t>
  </si>
  <si>
    <t>ΑΗ933883</t>
  </si>
  <si>
    <t>ΔΡΟΣΟΠΟΥΛΟΥ</t>
  </si>
  <si>
    <t>AΝΤΩΝΙΟΣ</t>
  </si>
  <si>
    <t>ΑΝ439562</t>
  </si>
  <si>
    <t>ΤΣΑΒΛΙΔΟΥ</t>
  </si>
  <si>
    <t>ΑΖ678258</t>
  </si>
  <si>
    <t>ΜΠΙΣΤΙΟΛΑ</t>
  </si>
  <si>
    <t>ΒΗΣΣΑΡΙΩΝ</t>
  </si>
  <si>
    <t>Τ064847</t>
  </si>
  <si>
    <t>ΝΙΚΟΛΟΥΔΑΚΗ</t>
  </si>
  <si>
    <t>ΑΙ454627</t>
  </si>
  <si>
    <t>ΞΑΝΤΙΝΙΔΟΥ</t>
  </si>
  <si>
    <t>Χ943645</t>
  </si>
  <si>
    <t>Καρανανου</t>
  </si>
  <si>
    <t>Μεταξια</t>
  </si>
  <si>
    <t xml:space="preserve">Ζαχαρίας </t>
  </si>
  <si>
    <t>Χ650583</t>
  </si>
  <si>
    <t>ΠΑΠΑΣΚΟΥΛΗ</t>
  </si>
  <si>
    <t>ΑΗ485910</t>
  </si>
  <si>
    <t>ΦΡΕΙΔΕΡΙΚΗ ΑΘΑΝΑΣΙΑ</t>
  </si>
  <si>
    <t>ΑΜ394360</t>
  </si>
  <si>
    <t>ΓΙΑΝΝΑΡΙΔΟΥ</t>
  </si>
  <si>
    <t>ΝΙΚΟΛΑΣ</t>
  </si>
  <si>
    <t>Χ971818</t>
  </si>
  <si>
    <t>ΑΚ611370</t>
  </si>
  <si>
    <t>ΚΟΤΣΑΛΗ</t>
  </si>
  <si>
    <t>ΑΚ123350</t>
  </si>
  <si>
    <t>ΑΚ495271</t>
  </si>
  <si>
    <t>ΜΕΝΤΖΟΥ</t>
  </si>
  <si>
    <t>ΑΟ005231</t>
  </si>
  <si>
    <t>ΔΟΣΧΟΡΗ</t>
  </si>
  <si>
    <t>ΑΙ209603</t>
  </si>
  <si>
    <t xml:space="preserve">ΚΙΟΥΡΚΤΣΉ </t>
  </si>
  <si>
    <t xml:space="preserve">ΞΑΝΘΟΎΛΑ </t>
  </si>
  <si>
    <t>ΑΕ910827</t>
  </si>
  <si>
    <t>ΓΙΑΖΙΤΖΗ</t>
  </si>
  <si>
    <t>ΑΕ160933</t>
  </si>
  <si>
    <t>ΠΕΡΔΙΚΑΡΗ</t>
  </si>
  <si>
    <t>Τ883036</t>
  </si>
  <si>
    <t>ΑΝ751541</t>
  </si>
  <si>
    <t>ΙΩΑΝΝΑ ΜΑΡΙΑ</t>
  </si>
  <si>
    <t>ΑΕ612303</t>
  </si>
  <si>
    <t>ΚΕΛΑΡΑΚΗ</t>
  </si>
  <si>
    <t>ΑΙ440643</t>
  </si>
  <si>
    <t>ΠΑΜΠΟΥΚΙΔΟΥ</t>
  </si>
  <si>
    <t>ΑΗ294420</t>
  </si>
  <si>
    <t>ΚΑΡΑΚΑΡΗ</t>
  </si>
  <si>
    <t>Χ246757</t>
  </si>
  <si>
    <t>ΣΤΡΑΤΙΚΗ</t>
  </si>
  <si>
    <t>ΑΜ378795</t>
  </si>
  <si>
    <t>ΠΙΠΙΛΑΚΙΔΟΥ</t>
  </si>
  <si>
    <t>ΑΖ163381</t>
  </si>
  <si>
    <t>ΚΑΤΑΤΑΞΗ ΜΕ ΣΕΙΡΑ ΠΡΟΤΕΡΑΙΟΤΗΤΑΣ ΥΠΟΨΗΦΙΩΝ ΜΕΛΩΝ ΕΙΔΙΚΟΥ ΒΟΗΘΗΤΙΚΟΥ ΠΡΟΣΩΠΙΚΟΥ(Ε.Β.Π.) ΣΤΗΝ ΠΡΩΤΟΒΑΘΜΙΑ ΚΑΙ ΔΕΥΤΕΡΟΒΑΘΜΙΑ ΕΚΠΑΙΔΕΥΣΗ (ν.4589/2019) – ΠΡΟΚΗΡΥΞΗ 1ΕΑ/2019 (ΦΕΚ 13/τ.ΑΣΕΠ/25.4.2019)</t>
  </si>
  <si>
    <t xml:space="preserve">ΔΕ01 ΕΙΔΙΚΟΥ ΒΟΗΘΗΤΙΚΟΥ ΠΡΟΣΩΠΙΚΟΥ </t>
  </si>
  <si>
    <t>Π Ι Ν Α Κ Α Σ    Κ Α Τ Α Τ Α Ξ Η Σ</t>
  </si>
  <si>
    <t>ΝΑΙ</t>
  </si>
  <si>
    <t>1: ΒΑΣΙΚΟΣ ΤΙΤΛΟΣ</t>
  </si>
  <si>
    <t>2: ΔΕΥΤΕΡΟΣ ΤΙΤΛΟΣ ΣΠΟΥΔΩΝ</t>
  </si>
  <si>
    <t>3: ΑΡΙΣΤΗ ΓΝΩΣΗ ΞΕΝΗΣ ΓΛΩΣΣΑΣ</t>
  </si>
  <si>
    <t>4: ΠΟΛΥ ΚΑΛΗ ΓΝΩΣΗ ΞΕΝΗΣ ΓΛΩΣΣΑΣ</t>
  </si>
  <si>
    <t>5: ΚΑΛΗ ΓΝΩΣΗ ΞΕΝΗΣ ΓΛΩΣΣΑΣ</t>
  </si>
  <si>
    <t>6: ΓΝΩΣΗ ΧΕΙΡΙΣΜΟΥ Η/Υ</t>
  </si>
  <si>
    <t>7: ΣΥΝ. ΒΑΘΜ. ΞΕΝΩΝ ΓΛΩΣΣΩΝ</t>
  </si>
  <si>
    <t>8: ΕΠΙΜΟΡΦΩΣΗ ΔΙΑΡΚΕΙΑΣ 300 ΩΡΩΝ</t>
  </si>
  <si>
    <t>9: ΣΥΝ. ΒΑΘΜ. ΑΚΑΔΗΜΑΪΚΩΝ ΠΡΟΣΟΝΤΩΝ</t>
  </si>
  <si>
    <t>10: ΑΡΙΘΜΟΣ ΜΗΝΩΝ ΕΜΠΕΙΡΙΑΣ</t>
  </si>
  <si>
    <t>11: ΜΟΝΑΔΕΣ ΓΙΑ ΤΗΝ ΕΜΠΕΙΡΙΑ</t>
  </si>
  <si>
    <t>12: ΒΑΘΜ. ΑΝΗΛΙΚΩΝ ΤΕΚΝΩΝ</t>
  </si>
  <si>
    <t>13: ΒΑΘΜ. ΠΟΣΟΣΤΟΥ ΑΝΑΠΗΡΙΑΣ</t>
  </si>
  <si>
    <t>14: ΠΙΣΤΟΠΟΙΗΜΕΝΗ ΕΠΑΡΚΕΙΑ ΣΤΗΝ ΕΛΛΗΝΙΚΗ ΝΟΗΜΑΤΙΚΗ ΓΛΩΣΣΑ (ΕΝΓ)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</si>
</sst>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45"/>
  <sheetViews>
    <sheetView tabSelected="1" zoomScalePageLayoutView="0" workbookViewId="0" topLeftCell="A2900">
      <selection activeCell="D2935" sqref="D2935"/>
    </sheetView>
  </sheetViews>
  <sheetFormatPr defaultColWidth="9.140625" defaultRowHeight="15"/>
  <cols>
    <col min="3" max="3" width="21.57421875" style="0" customWidth="1"/>
    <col min="4" max="4" width="24.8515625" style="0" bestFit="1" customWidth="1"/>
    <col min="5" max="5" width="23.421875" style="0" bestFit="1" customWidth="1"/>
    <col min="6" max="6" width="10.7109375" style="0" bestFit="1" customWidth="1"/>
    <col min="7" max="7" width="20.7109375" style="0" bestFit="1" customWidth="1"/>
    <col min="22" max="22" width="16.28125" style="0" customWidth="1"/>
  </cols>
  <sheetData>
    <row r="1" ht="15">
      <c r="A1" s="3" t="s">
        <v>6248</v>
      </c>
    </row>
    <row r="2" ht="15">
      <c r="A2" s="3" t="s">
        <v>6250</v>
      </c>
    </row>
    <row r="3" ht="15">
      <c r="A3" s="3" t="s">
        <v>0</v>
      </c>
    </row>
    <row r="5" ht="15">
      <c r="A5" s="3" t="s">
        <v>6249</v>
      </c>
    </row>
    <row r="7" spans="1:22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2">
        <v>8</v>
      </c>
      <c r="P7" s="2">
        <v>9</v>
      </c>
      <c r="Q7" s="2">
        <v>10</v>
      </c>
      <c r="R7" s="2">
        <v>11</v>
      </c>
      <c r="S7" s="2">
        <v>12</v>
      </c>
      <c r="T7" s="2">
        <v>13</v>
      </c>
      <c r="U7" s="2">
        <v>14</v>
      </c>
      <c r="V7" s="2" t="s">
        <v>8</v>
      </c>
    </row>
    <row r="8" spans="1:22" ht="15">
      <c r="A8" s="4">
        <v>1</v>
      </c>
      <c r="B8">
        <v>2074</v>
      </c>
      <c r="C8" t="s">
        <v>9</v>
      </c>
      <c r="D8" t="s">
        <v>10</v>
      </c>
      <c r="E8" t="s">
        <v>11</v>
      </c>
      <c r="F8" t="s">
        <v>12</v>
      </c>
      <c r="G8" t="str">
        <f>"00190330"</f>
        <v>00190330</v>
      </c>
      <c r="H8">
        <v>43.2</v>
      </c>
      <c r="I8">
        <v>10</v>
      </c>
      <c r="M8">
        <v>0</v>
      </c>
      <c r="N8">
        <v>0</v>
      </c>
      <c r="O8">
        <v>0</v>
      </c>
      <c r="P8">
        <v>53.2</v>
      </c>
      <c r="Q8">
        <v>113</v>
      </c>
      <c r="R8">
        <v>113</v>
      </c>
      <c r="S8">
        <v>9</v>
      </c>
      <c r="T8">
        <v>34</v>
      </c>
      <c r="U8" s="1">
        <v>0</v>
      </c>
      <c r="V8">
        <v>209.2</v>
      </c>
    </row>
    <row r="9" spans="1:22" ht="15">
      <c r="A9" s="4">
        <v>2</v>
      </c>
      <c r="B9">
        <v>1633</v>
      </c>
      <c r="C9" t="s">
        <v>13</v>
      </c>
      <c r="D9" t="s">
        <v>14</v>
      </c>
      <c r="E9" t="s">
        <v>15</v>
      </c>
      <c r="F9" t="s">
        <v>16</v>
      </c>
      <c r="G9" t="str">
        <f>"201511030152"</f>
        <v>201511030152</v>
      </c>
      <c r="H9">
        <v>72</v>
      </c>
      <c r="I9">
        <v>10</v>
      </c>
      <c r="L9">
        <v>4</v>
      </c>
      <c r="M9">
        <v>4</v>
      </c>
      <c r="N9">
        <v>4</v>
      </c>
      <c r="O9">
        <v>0</v>
      </c>
      <c r="P9">
        <v>90</v>
      </c>
      <c r="Q9">
        <v>109</v>
      </c>
      <c r="R9">
        <v>109</v>
      </c>
      <c r="S9">
        <v>6</v>
      </c>
      <c r="T9">
        <v>0</v>
      </c>
      <c r="U9" s="1">
        <v>0</v>
      </c>
      <c r="V9">
        <v>205</v>
      </c>
    </row>
    <row r="10" spans="1:22" ht="15">
      <c r="A10" s="4">
        <v>3</v>
      </c>
      <c r="B10">
        <v>657</v>
      </c>
      <c r="C10" t="s">
        <v>17</v>
      </c>
      <c r="D10" t="s">
        <v>18</v>
      </c>
      <c r="E10" t="s">
        <v>19</v>
      </c>
      <c r="F10" t="s">
        <v>20</v>
      </c>
      <c r="G10" t="str">
        <f>"00497021"</f>
        <v>00497021</v>
      </c>
      <c r="H10">
        <v>26.68</v>
      </c>
      <c r="I10">
        <v>10</v>
      </c>
      <c r="K10">
        <v>6</v>
      </c>
      <c r="M10">
        <v>4</v>
      </c>
      <c r="N10">
        <v>6</v>
      </c>
      <c r="O10">
        <v>0</v>
      </c>
      <c r="P10">
        <v>46.68</v>
      </c>
      <c r="Q10">
        <v>115</v>
      </c>
      <c r="R10">
        <v>115</v>
      </c>
      <c r="S10">
        <v>9</v>
      </c>
      <c r="T10">
        <v>34</v>
      </c>
      <c r="U10" s="1">
        <v>0</v>
      </c>
      <c r="V10">
        <v>204.68</v>
      </c>
    </row>
    <row r="11" spans="1:22" ht="15">
      <c r="A11" s="4">
        <v>4</v>
      </c>
      <c r="B11">
        <v>1279</v>
      </c>
      <c r="C11" t="s">
        <v>21</v>
      </c>
      <c r="D11" t="s">
        <v>22</v>
      </c>
      <c r="E11" t="s">
        <v>23</v>
      </c>
      <c r="F11" t="s">
        <v>24</v>
      </c>
      <c r="G11" t="str">
        <f>"00482361"</f>
        <v>00482361</v>
      </c>
      <c r="H11">
        <v>64.8</v>
      </c>
      <c r="I11">
        <v>0</v>
      </c>
      <c r="M11">
        <v>4</v>
      </c>
      <c r="N11">
        <v>0</v>
      </c>
      <c r="O11">
        <v>0</v>
      </c>
      <c r="P11">
        <v>68.8</v>
      </c>
      <c r="Q11">
        <v>98</v>
      </c>
      <c r="R11">
        <v>98</v>
      </c>
      <c r="S11">
        <v>0</v>
      </c>
      <c r="T11">
        <v>34</v>
      </c>
      <c r="U11" s="1">
        <v>0</v>
      </c>
      <c r="V11">
        <v>200.8</v>
      </c>
    </row>
    <row r="12" spans="1:22" ht="15">
      <c r="A12" s="4">
        <v>5</v>
      </c>
      <c r="B12">
        <v>211</v>
      </c>
      <c r="C12" t="s">
        <v>25</v>
      </c>
      <c r="D12" t="s">
        <v>26</v>
      </c>
      <c r="E12" t="s">
        <v>11</v>
      </c>
      <c r="F12" t="s">
        <v>27</v>
      </c>
      <c r="G12" t="str">
        <f>"00529838"</f>
        <v>00529838</v>
      </c>
      <c r="H12">
        <v>64.8</v>
      </c>
      <c r="I12">
        <v>10</v>
      </c>
      <c r="L12">
        <v>4</v>
      </c>
      <c r="M12">
        <v>4</v>
      </c>
      <c r="N12">
        <v>4</v>
      </c>
      <c r="O12">
        <v>0</v>
      </c>
      <c r="P12">
        <v>82.8</v>
      </c>
      <c r="Q12">
        <v>112</v>
      </c>
      <c r="R12">
        <v>112</v>
      </c>
      <c r="S12">
        <v>3</v>
      </c>
      <c r="T12">
        <v>0</v>
      </c>
      <c r="U12" s="1">
        <v>0</v>
      </c>
      <c r="V12">
        <v>197.8</v>
      </c>
    </row>
    <row r="13" spans="1:22" ht="15">
      <c r="A13" s="4">
        <v>6</v>
      </c>
      <c r="B13">
        <v>1402</v>
      </c>
      <c r="C13" t="s">
        <v>28</v>
      </c>
      <c r="D13" t="s">
        <v>29</v>
      </c>
      <c r="E13" t="s">
        <v>30</v>
      </c>
      <c r="F13" t="s">
        <v>31</v>
      </c>
      <c r="G13" t="str">
        <f>"00153175"</f>
        <v>00153175</v>
      </c>
      <c r="H13">
        <v>50.4</v>
      </c>
      <c r="I13">
        <v>10</v>
      </c>
      <c r="J13">
        <v>8</v>
      </c>
      <c r="M13">
        <v>4</v>
      </c>
      <c r="N13">
        <v>8</v>
      </c>
      <c r="O13">
        <v>2</v>
      </c>
      <c r="P13">
        <v>74.4</v>
      </c>
      <c r="Q13">
        <v>120</v>
      </c>
      <c r="R13">
        <v>120</v>
      </c>
      <c r="S13">
        <v>3</v>
      </c>
      <c r="T13">
        <v>0</v>
      </c>
      <c r="U13" s="1">
        <v>0</v>
      </c>
      <c r="V13">
        <v>197.4</v>
      </c>
    </row>
    <row r="14" spans="1:22" ht="15">
      <c r="A14" s="4">
        <v>7</v>
      </c>
      <c r="B14">
        <v>1349</v>
      </c>
      <c r="C14" t="s">
        <v>32</v>
      </c>
      <c r="D14" t="s">
        <v>33</v>
      </c>
      <c r="E14" t="s">
        <v>11</v>
      </c>
      <c r="F14" t="s">
        <v>34</v>
      </c>
      <c r="G14" t="str">
        <f>"00485213"</f>
        <v>00485213</v>
      </c>
      <c r="H14">
        <v>72</v>
      </c>
      <c r="I14">
        <v>0</v>
      </c>
      <c r="M14">
        <v>4</v>
      </c>
      <c r="N14">
        <v>0</v>
      </c>
      <c r="O14">
        <v>0</v>
      </c>
      <c r="P14">
        <v>76</v>
      </c>
      <c r="Q14">
        <v>114</v>
      </c>
      <c r="R14">
        <v>114</v>
      </c>
      <c r="S14">
        <v>6</v>
      </c>
      <c r="T14">
        <v>0</v>
      </c>
      <c r="U14" s="1">
        <v>0</v>
      </c>
      <c r="V14">
        <v>196</v>
      </c>
    </row>
    <row r="15" spans="1:22" ht="15">
      <c r="A15" s="4">
        <v>8</v>
      </c>
      <c r="B15">
        <v>24</v>
      </c>
      <c r="C15" t="s">
        <v>35</v>
      </c>
      <c r="D15" t="s">
        <v>36</v>
      </c>
      <c r="E15" t="s">
        <v>37</v>
      </c>
      <c r="F15" t="s">
        <v>38</v>
      </c>
      <c r="G15" t="str">
        <f>"00516718"</f>
        <v>00516718</v>
      </c>
      <c r="H15">
        <v>57.6</v>
      </c>
      <c r="I15">
        <v>10</v>
      </c>
      <c r="L15">
        <v>4</v>
      </c>
      <c r="M15">
        <v>4</v>
      </c>
      <c r="N15">
        <v>4</v>
      </c>
      <c r="O15">
        <v>0</v>
      </c>
      <c r="P15">
        <v>75.6</v>
      </c>
      <c r="Q15">
        <v>116</v>
      </c>
      <c r="R15">
        <v>116</v>
      </c>
      <c r="S15">
        <v>3</v>
      </c>
      <c r="T15">
        <v>0</v>
      </c>
      <c r="U15" s="1">
        <v>0</v>
      </c>
      <c r="V15">
        <v>194.6</v>
      </c>
    </row>
    <row r="16" spans="1:22" ht="15">
      <c r="A16" s="4">
        <v>9</v>
      </c>
      <c r="B16">
        <v>1405</v>
      </c>
      <c r="C16" t="s">
        <v>39</v>
      </c>
      <c r="D16" t="s">
        <v>40</v>
      </c>
      <c r="E16" t="s">
        <v>41</v>
      </c>
      <c r="F16" t="s">
        <v>42</v>
      </c>
      <c r="G16" t="str">
        <f>"00442090"</f>
        <v>00442090</v>
      </c>
      <c r="H16">
        <v>28.8</v>
      </c>
      <c r="I16">
        <v>10</v>
      </c>
      <c r="L16">
        <v>4</v>
      </c>
      <c r="M16">
        <v>4</v>
      </c>
      <c r="N16">
        <v>4</v>
      </c>
      <c r="O16">
        <v>0</v>
      </c>
      <c r="P16">
        <v>46.8</v>
      </c>
      <c r="Q16">
        <v>105</v>
      </c>
      <c r="R16">
        <v>105</v>
      </c>
      <c r="S16">
        <v>9</v>
      </c>
      <c r="T16">
        <v>32.4</v>
      </c>
      <c r="U16" s="1">
        <v>0</v>
      </c>
      <c r="V16">
        <v>193.2</v>
      </c>
    </row>
    <row r="17" spans="1:22" ht="15">
      <c r="A17" s="4">
        <v>10</v>
      </c>
      <c r="B17">
        <v>2860</v>
      </c>
      <c r="C17" t="s">
        <v>43</v>
      </c>
      <c r="D17" t="s">
        <v>44</v>
      </c>
      <c r="E17" t="s">
        <v>15</v>
      </c>
      <c r="F17" t="s">
        <v>45</v>
      </c>
      <c r="G17" t="str">
        <f>"00527339"</f>
        <v>00527339</v>
      </c>
      <c r="H17">
        <v>57.6</v>
      </c>
      <c r="I17">
        <v>0</v>
      </c>
      <c r="J17">
        <v>8</v>
      </c>
      <c r="M17">
        <v>4</v>
      </c>
      <c r="N17">
        <v>8</v>
      </c>
      <c r="O17">
        <v>0</v>
      </c>
      <c r="P17">
        <v>69.6</v>
      </c>
      <c r="Q17">
        <v>114</v>
      </c>
      <c r="R17">
        <v>114</v>
      </c>
      <c r="S17">
        <v>9</v>
      </c>
      <c r="T17">
        <v>0</v>
      </c>
      <c r="U17" s="1">
        <v>0</v>
      </c>
      <c r="V17">
        <v>192.6</v>
      </c>
    </row>
    <row r="18" spans="1:22" ht="15">
      <c r="A18" s="4">
        <v>11</v>
      </c>
      <c r="B18">
        <v>2421</v>
      </c>
      <c r="C18" t="s">
        <v>46</v>
      </c>
      <c r="D18" t="s">
        <v>14</v>
      </c>
      <c r="E18" t="s">
        <v>47</v>
      </c>
      <c r="F18" t="s">
        <v>48</v>
      </c>
      <c r="G18" t="str">
        <f>"00155857"</f>
        <v>00155857</v>
      </c>
      <c r="H18">
        <v>23.72</v>
      </c>
      <c r="I18">
        <v>10</v>
      </c>
      <c r="L18">
        <v>4</v>
      </c>
      <c r="M18">
        <v>4</v>
      </c>
      <c r="N18">
        <v>4</v>
      </c>
      <c r="O18">
        <v>0</v>
      </c>
      <c r="P18">
        <v>41.72</v>
      </c>
      <c r="Q18">
        <v>107</v>
      </c>
      <c r="R18">
        <v>107</v>
      </c>
      <c r="S18">
        <v>6</v>
      </c>
      <c r="T18">
        <v>36</v>
      </c>
      <c r="U18" s="1">
        <v>0</v>
      </c>
      <c r="V18">
        <v>190.72</v>
      </c>
    </row>
    <row r="19" spans="1:22" ht="15">
      <c r="A19" s="4">
        <v>12</v>
      </c>
      <c r="B19">
        <v>490</v>
      </c>
      <c r="C19" t="s">
        <v>49</v>
      </c>
      <c r="D19" t="s">
        <v>50</v>
      </c>
      <c r="E19" t="s">
        <v>51</v>
      </c>
      <c r="F19" t="s">
        <v>52</v>
      </c>
      <c r="G19" t="str">
        <f>"00504689"</f>
        <v>00504689</v>
      </c>
      <c r="H19">
        <v>57.6</v>
      </c>
      <c r="I19">
        <v>10</v>
      </c>
      <c r="L19">
        <v>4</v>
      </c>
      <c r="M19">
        <v>4</v>
      </c>
      <c r="N19">
        <v>4</v>
      </c>
      <c r="O19">
        <v>0</v>
      </c>
      <c r="P19">
        <v>75.6</v>
      </c>
      <c r="Q19">
        <v>113</v>
      </c>
      <c r="R19">
        <v>113</v>
      </c>
      <c r="S19">
        <v>0</v>
      </c>
      <c r="T19">
        <v>0</v>
      </c>
      <c r="U19" s="1">
        <v>0</v>
      </c>
      <c r="V19">
        <v>188.6</v>
      </c>
    </row>
    <row r="20" spans="1:22" ht="15">
      <c r="A20" s="4">
        <v>13</v>
      </c>
      <c r="B20">
        <v>3385</v>
      </c>
      <c r="C20" t="s">
        <v>53</v>
      </c>
      <c r="D20" t="s">
        <v>54</v>
      </c>
      <c r="E20" t="s">
        <v>55</v>
      </c>
      <c r="F20" t="s">
        <v>56</v>
      </c>
      <c r="G20" t="str">
        <f>"00530881"</f>
        <v>00530881</v>
      </c>
      <c r="H20">
        <v>50.4</v>
      </c>
      <c r="I20">
        <v>10</v>
      </c>
      <c r="L20">
        <v>4</v>
      </c>
      <c r="M20">
        <v>4</v>
      </c>
      <c r="N20">
        <v>4</v>
      </c>
      <c r="O20">
        <v>0</v>
      </c>
      <c r="P20">
        <v>68.4</v>
      </c>
      <c r="Q20">
        <v>120</v>
      </c>
      <c r="R20">
        <v>120</v>
      </c>
      <c r="S20">
        <v>0</v>
      </c>
      <c r="T20">
        <v>0</v>
      </c>
      <c r="U20" s="1">
        <v>0</v>
      </c>
      <c r="V20">
        <v>188.4</v>
      </c>
    </row>
    <row r="21" spans="1:22" ht="15">
      <c r="A21" s="4">
        <v>14</v>
      </c>
      <c r="B21">
        <v>1681</v>
      </c>
      <c r="C21" t="s">
        <v>57</v>
      </c>
      <c r="D21" t="s">
        <v>58</v>
      </c>
      <c r="E21" t="s">
        <v>59</v>
      </c>
      <c r="F21" t="s">
        <v>60</v>
      </c>
      <c r="G21" t="str">
        <f>"00518689"</f>
        <v>00518689</v>
      </c>
      <c r="H21">
        <v>64.8</v>
      </c>
      <c r="I21">
        <v>10</v>
      </c>
      <c r="M21">
        <v>4</v>
      </c>
      <c r="N21">
        <v>0</v>
      </c>
      <c r="O21">
        <v>0</v>
      </c>
      <c r="P21">
        <v>78.8</v>
      </c>
      <c r="Q21">
        <v>103</v>
      </c>
      <c r="R21">
        <v>103</v>
      </c>
      <c r="S21">
        <v>6</v>
      </c>
      <c r="T21">
        <v>0</v>
      </c>
      <c r="U21" s="1">
        <v>0</v>
      </c>
      <c r="V21">
        <v>187.8</v>
      </c>
    </row>
    <row r="22" spans="1:22" ht="15">
      <c r="A22" s="4">
        <v>15</v>
      </c>
      <c r="B22">
        <v>579</v>
      </c>
      <c r="C22" t="s">
        <v>61</v>
      </c>
      <c r="D22" t="s">
        <v>14</v>
      </c>
      <c r="E22" t="s">
        <v>11</v>
      </c>
      <c r="F22" t="s">
        <v>62</v>
      </c>
      <c r="G22" t="str">
        <f>"00503742"</f>
        <v>00503742</v>
      </c>
      <c r="H22">
        <v>57.6</v>
      </c>
      <c r="I22">
        <v>10</v>
      </c>
      <c r="L22">
        <v>4</v>
      </c>
      <c r="M22">
        <v>4</v>
      </c>
      <c r="N22">
        <v>4</v>
      </c>
      <c r="O22">
        <v>0</v>
      </c>
      <c r="P22">
        <v>75.6</v>
      </c>
      <c r="Q22">
        <v>112</v>
      </c>
      <c r="R22">
        <v>112</v>
      </c>
      <c r="S22">
        <v>0</v>
      </c>
      <c r="T22">
        <v>0</v>
      </c>
      <c r="U22" s="1">
        <v>0</v>
      </c>
      <c r="V22">
        <v>187.6</v>
      </c>
    </row>
    <row r="23" spans="1:22" ht="15">
      <c r="A23" s="4">
        <v>16</v>
      </c>
      <c r="B23">
        <v>280</v>
      </c>
      <c r="C23" t="s">
        <v>63</v>
      </c>
      <c r="D23" t="s">
        <v>64</v>
      </c>
      <c r="E23" t="s">
        <v>65</v>
      </c>
      <c r="F23" t="s">
        <v>66</v>
      </c>
      <c r="G23" t="str">
        <f>"00532277"</f>
        <v>00532277</v>
      </c>
      <c r="H23">
        <v>64.8</v>
      </c>
      <c r="I23">
        <v>0</v>
      </c>
      <c r="L23">
        <v>4</v>
      </c>
      <c r="M23">
        <v>4</v>
      </c>
      <c r="N23">
        <v>4</v>
      </c>
      <c r="O23">
        <v>0</v>
      </c>
      <c r="P23">
        <v>72.8</v>
      </c>
      <c r="Q23">
        <v>107</v>
      </c>
      <c r="R23">
        <v>107</v>
      </c>
      <c r="S23">
        <v>6</v>
      </c>
      <c r="T23">
        <v>0</v>
      </c>
      <c r="U23" s="1">
        <v>0</v>
      </c>
      <c r="V23">
        <v>185.8</v>
      </c>
    </row>
    <row r="24" spans="1:22" ht="15">
      <c r="A24" s="4">
        <v>17</v>
      </c>
      <c r="B24">
        <v>910</v>
      </c>
      <c r="C24" t="s">
        <v>67</v>
      </c>
      <c r="D24" t="s">
        <v>68</v>
      </c>
      <c r="E24" t="s">
        <v>69</v>
      </c>
      <c r="F24" t="s">
        <v>70</v>
      </c>
      <c r="G24" t="str">
        <f>"00531431"</f>
        <v>00531431</v>
      </c>
      <c r="H24">
        <v>57.6</v>
      </c>
      <c r="I24">
        <v>0</v>
      </c>
      <c r="L24">
        <v>4</v>
      </c>
      <c r="M24">
        <v>0</v>
      </c>
      <c r="N24">
        <v>4</v>
      </c>
      <c r="O24">
        <v>0</v>
      </c>
      <c r="P24">
        <v>61.6</v>
      </c>
      <c r="Q24">
        <v>96</v>
      </c>
      <c r="R24">
        <v>96</v>
      </c>
      <c r="S24">
        <v>0</v>
      </c>
      <c r="T24">
        <v>28</v>
      </c>
      <c r="U24" s="1">
        <v>0</v>
      </c>
      <c r="V24">
        <v>185.6</v>
      </c>
    </row>
    <row r="25" spans="1:22" ht="15">
      <c r="A25" s="4">
        <v>18</v>
      </c>
      <c r="B25">
        <v>111</v>
      </c>
      <c r="C25" t="s">
        <v>71</v>
      </c>
      <c r="D25" t="s">
        <v>72</v>
      </c>
      <c r="E25" t="s">
        <v>73</v>
      </c>
      <c r="F25" t="s">
        <v>74</v>
      </c>
      <c r="G25" t="str">
        <f>"00481036"</f>
        <v>00481036</v>
      </c>
      <c r="H25">
        <v>50.4</v>
      </c>
      <c r="I25">
        <v>0</v>
      </c>
      <c r="L25">
        <v>8</v>
      </c>
      <c r="M25">
        <v>4</v>
      </c>
      <c r="N25">
        <v>8</v>
      </c>
      <c r="O25">
        <v>0</v>
      </c>
      <c r="P25">
        <v>62.4</v>
      </c>
      <c r="Q25">
        <v>114</v>
      </c>
      <c r="R25">
        <v>114</v>
      </c>
      <c r="S25">
        <v>9</v>
      </c>
      <c r="T25">
        <v>0</v>
      </c>
      <c r="U25" s="1">
        <v>0</v>
      </c>
      <c r="V25">
        <v>185.4</v>
      </c>
    </row>
    <row r="26" spans="1:22" ht="15">
      <c r="A26" s="4">
        <v>19</v>
      </c>
      <c r="B26">
        <v>1980</v>
      </c>
      <c r="C26" t="s">
        <v>75</v>
      </c>
      <c r="D26" t="s">
        <v>76</v>
      </c>
      <c r="E26" t="s">
        <v>15</v>
      </c>
      <c r="F26" t="s">
        <v>77</v>
      </c>
      <c r="G26" t="str">
        <f>"00506091"</f>
        <v>00506091</v>
      </c>
      <c r="H26">
        <v>57.6</v>
      </c>
      <c r="I26">
        <v>0</v>
      </c>
      <c r="L26">
        <v>4</v>
      </c>
      <c r="M26">
        <v>4</v>
      </c>
      <c r="N26">
        <v>4</v>
      </c>
      <c r="O26">
        <v>0</v>
      </c>
      <c r="P26">
        <v>65.6</v>
      </c>
      <c r="Q26">
        <v>113</v>
      </c>
      <c r="R26">
        <v>113</v>
      </c>
      <c r="S26">
        <v>6</v>
      </c>
      <c r="T26">
        <v>0</v>
      </c>
      <c r="U26" s="1">
        <v>0</v>
      </c>
      <c r="V26">
        <v>184.6</v>
      </c>
    </row>
    <row r="27" spans="1:22" ht="15">
      <c r="A27" s="4">
        <v>20</v>
      </c>
      <c r="B27">
        <v>67</v>
      </c>
      <c r="C27" t="s">
        <v>78</v>
      </c>
      <c r="D27" t="s">
        <v>79</v>
      </c>
      <c r="E27" t="s">
        <v>23</v>
      </c>
      <c r="F27" t="s">
        <v>80</v>
      </c>
      <c r="G27" t="str">
        <f>"00512004"</f>
        <v>00512004</v>
      </c>
      <c r="H27">
        <v>50.4</v>
      </c>
      <c r="I27">
        <v>10</v>
      </c>
      <c r="L27">
        <v>4</v>
      </c>
      <c r="M27">
        <v>4</v>
      </c>
      <c r="N27">
        <v>4</v>
      </c>
      <c r="O27">
        <v>0</v>
      </c>
      <c r="P27">
        <v>68.4</v>
      </c>
      <c r="Q27">
        <v>110</v>
      </c>
      <c r="R27">
        <v>110</v>
      </c>
      <c r="S27">
        <v>6</v>
      </c>
      <c r="T27">
        <v>0</v>
      </c>
      <c r="U27" s="1">
        <v>0</v>
      </c>
      <c r="V27">
        <v>184.4</v>
      </c>
    </row>
    <row r="28" spans="1:22" ht="15">
      <c r="A28" s="4">
        <v>21</v>
      </c>
      <c r="B28">
        <v>326</v>
      </c>
      <c r="C28" t="s">
        <v>81</v>
      </c>
      <c r="D28" t="s">
        <v>82</v>
      </c>
      <c r="E28" t="s">
        <v>83</v>
      </c>
      <c r="F28" t="s">
        <v>84</v>
      </c>
      <c r="G28" t="str">
        <f>"00516298"</f>
        <v>00516298</v>
      </c>
      <c r="H28">
        <v>50.4</v>
      </c>
      <c r="I28">
        <v>10</v>
      </c>
      <c r="M28">
        <v>4</v>
      </c>
      <c r="N28">
        <v>0</v>
      </c>
      <c r="O28">
        <v>0</v>
      </c>
      <c r="P28">
        <v>64.4</v>
      </c>
      <c r="Q28">
        <v>108</v>
      </c>
      <c r="R28">
        <v>108</v>
      </c>
      <c r="S28">
        <v>12</v>
      </c>
      <c r="T28">
        <v>0</v>
      </c>
      <c r="U28" s="1">
        <v>0</v>
      </c>
      <c r="V28">
        <v>184.4</v>
      </c>
    </row>
    <row r="29" spans="1:22" ht="15">
      <c r="A29" s="4">
        <v>22</v>
      </c>
      <c r="B29">
        <v>641</v>
      </c>
      <c r="C29" t="s">
        <v>85</v>
      </c>
      <c r="D29" t="s">
        <v>26</v>
      </c>
      <c r="E29" t="s">
        <v>86</v>
      </c>
      <c r="F29" t="s">
        <v>87</v>
      </c>
      <c r="G29" t="str">
        <f>"00151532"</f>
        <v>00151532</v>
      </c>
      <c r="H29">
        <v>64.8</v>
      </c>
      <c r="I29">
        <v>10</v>
      </c>
      <c r="M29">
        <v>0</v>
      </c>
      <c r="N29">
        <v>0</v>
      </c>
      <c r="O29">
        <v>0</v>
      </c>
      <c r="P29">
        <v>74.8</v>
      </c>
      <c r="Q29">
        <v>104</v>
      </c>
      <c r="R29">
        <v>104</v>
      </c>
      <c r="S29">
        <v>3</v>
      </c>
      <c r="T29">
        <v>0</v>
      </c>
      <c r="U29" s="1">
        <v>0</v>
      </c>
      <c r="V29">
        <v>181.8</v>
      </c>
    </row>
    <row r="30" spans="1:22" ht="15">
      <c r="A30" s="4">
        <v>23</v>
      </c>
      <c r="B30">
        <v>1958</v>
      </c>
      <c r="C30" t="s">
        <v>88</v>
      </c>
      <c r="D30" t="s">
        <v>89</v>
      </c>
      <c r="E30" t="s">
        <v>90</v>
      </c>
      <c r="F30" t="s">
        <v>91</v>
      </c>
      <c r="G30" t="str">
        <f>"200802005059"</f>
        <v>200802005059</v>
      </c>
      <c r="H30">
        <v>39.44</v>
      </c>
      <c r="I30">
        <v>10</v>
      </c>
      <c r="L30">
        <v>4</v>
      </c>
      <c r="M30">
        <v>4</v>
      </c>
      <c r="N30">
        <v>4</v>
      </c>
      <c r="O30">
        <v>0</v>
      </c>
      <c r="P30">
        <v>57.44</v>
      </c>
      <c r="Q30">
        <v>114</v>
      </c>
      <c r="R30">
        <v>114</v>
      </c>
      <c r="S30">
        <v>9</v>
      </c>
      <c r="T30">
        <v>0</v>
      </c>
      <c r="U30" s="1">
        <v>0</v>
      </c>
      <c r="V30">
        <v>180.44</v>
      </c>
    </row>
    <row r="31" spans="1:22" ht="15">
      <c r="A31" s="4">
        <v>24</v>
      </c>
      <c r="B31">
        <v>143</v>
      </c>
      <c r="C31" t="s">
        <v>92</v>
      </c>
      <c r="D31" t="s">
        <v>93</v>
      </c>
      <c r="E31" t="s">
        <v>94</v>
      </c>
      <c r="F31" t="s">
        <v>95</v>
      </c>
      <c r="G31" t="str">
        <f>"00516519"</f>
        <v>00516519</v>
      </c>
      <c r="H31">
        <v>50.4</v>
      </c>
      <c r="I31">
        <v>0</v>
      </c>
      <c r="M31">
        <v>4</v>
      </c>
      <c r="N31">
        <v>0</v>
      </c>
      <c r="O31">
        <v>0</v>
      </c>
      <c r="P31">
        <v>54.4</v>
      </c>
      <c r="Q31">
        <v>120</v>
      </c>
      <c r="R31">
        <v>120</v>
      </c>
      <c r="S31">
        <v>6</v>
      </c>
      <c r="T31">
        <v>0</v>
      </c>
      <c r="U31" s="1">
        <v>0</v>
      </c>
      <c r="V31">
        <v>180.4</v>
      </c>
    </row>
    <row r="32" spans="1:22" ht="15">
      <c r="A32" s="4">
        <v>25</v>
      </c>
      <c r="B32">
        <v>94</v>
      </c>
      <c r="C32" t="s">
        <v>96</v>
      </c>
      <c r="D32" t="s">
        <v>14</v>
      </c>
      <c r="E32" t="s">
        <v>73</v>
      </c>
      <c r="F32" t="s">
        <v>97</v>
      </c>
      <c r="G32" t="str">
        <f>"00518055"</f>
        <v>00518055</v>
      </c>
      <c r="H32">
        <v>43.2</v>
      </c>
      <c r="I32">
        <v>0</v>
      </c>
      <c r="J32">
        <v>8</v>
      </c>
      <c r="M32">
        <v>4</v>
      </c>
      <c r="N32">
        <v>8</v>
      </c>
      <c r="O32">
        <v>2</v>
      </c>
      <c r="P32">
        <v>57.2</v>
      </c>
      <c r="Q32">
        <v>117</v>
      </c>
      <c r="R32">
        <v>117</v>
      </c>
      <c r="S32">
        <v>6</v>
      </c>
      <c r="T32">
        <v>0</v>
      </c>
      <c r="U32" s="1">
        <v>0</v>
      </c>
      <c r="V32">
        <v>180.2</v>
      </c>
    </row>
    <row r="33" spans="1:22" ht="15">
      <c r="A33" s="4">
        <v>26</v>
      </c>
      <c r="B33">
        <v>1233</v>
      </c>
      <c r="C33" t="s">
        <v>98</v>
      </c>
      <c r="D33" t="s">
        <v>14</v>
      </c>
      <c r="E33" t="s">
        <v>99</v>
      </c>
      <c r="F33" t="s">
        <v>100</v>
      </c>
      <c r="G33" t="str">
        <f>"00517409"</f>
        <v>00517409</v>
      </c>
      <c r="H33">
        <v>43.2</v>
      </c>
      <c r="I33">
        <v>10</v>
      </c>
      <c r="M33">
        <v>4</v>
      </c>
      <c r="N33">
        <v>0</v>
      </c>
      <c r="O33">
        <v>0</v>
      </c>
      <c r="P33">
        <v>57.2</v>
      </c>
      <c r="Q33">
        <v>120</v>
      </c>
      <c r="R33">
        <v>120</v>
      </c>
      <c r="S33">
        <v>3</v>
      </c>
      <c r="T33">
        <v>0</v>
      </c>
      <c r="U33" s="1">
        <v>0</v>
      </c>
      <c r="V33">
        <v>180.2</v>
      </c>
    </row>
    <row r="34" spans="1:22" ht="15">
      <c r="A34" s="4">
        <v>27</v>
      </c>
      <c r="B34">
        <v>2225</v>
      </c>
      <c r="C34" t="s">
        <v>101</v>
      </c>
      <c r="D34" t="s">
        <v>102</v>
      </c>
      <c r="E34" t="s">
        <v>51</v>
      </c>
      <c r="F34" t="s">
        <v>103</v>
      </c>
      <c r="G34" t="str">
        <f>"00442247"</f>
        <v>00442247</v>
      </c>
      <c r="H34">
        <v>50.4</v>
      </c>
      <c r="I34">
        <v>0</v>
      </c>
      <c r="L34">
        <v>4</v>
      </c>
      <c r="M34">
        <v>4</v>
      </c>
      <c r="N34">
        <v>4</v>
      </c>
      <c r="O34">
        <v>0</v>
      </c>
      <c r="P34">
        <v>58.4</v>
      </c>
      <c r="Q34">
        <v>115</v>
      </c>
      <c r="R34">
        <v>115</v>
      </c>
      <c r="S34">
        <v>6</v>
      </c>
      <c r="T34">
        <v>0</v>
      </c>
      <c r="U34" s="1">
        <v>0</v>
      </c>
      <c r="V34">
        <v>179.4</v>
      </c>
    </row>
    <row r="35" spans="1:22" ht="15">
      <c r="A35" s="4">
        <v>28</v>
      </c>
      <c r="B35">
        <v>1038</v>
      </c>
      <c r="C35" t="s">
        <v>104</v>
      </c>
      <c r="D35" t="s">
        <v>105</v>
      </c>
      <c r="E35" t="s">
        <v>106</v>
      </c>
      <c r="F35" t="s">
        <v>107</v>
      </c>
      <c r="G35" t="str">
        <f>"00148190"</f>
        <v>00148190</v>
      </c>
      <c r="H35">
        <v>26.52</v>
      </c>
      <c r="I35">
        <v>0</v>
      </c>
      <c r="M35">
        <v>4</v>
      </c>
      <c r="N35">
        <v>0</v>
      </c>
      <c r="O35">
        <v>2</v>
      </c>
      <c r="P35">
        <v>32.52</v>
      </c>
      <c r="Q35">
        <v>114</v>
      </c>
      <c r="R35">
        <v>114</v>
      </c>
      <c r="S35">
        <v>6</v>
      </c>
      <c r="T35">
        <v>26.8</v>
      </c>
      <c r="U35" s="1">
        <v>0</v>
      </c>
      <c r="V35">
        <v>179.32</v>
      </c>
    </row>
    <row r="36" spans="1:22" ht="15">
      <c r="A36" s="4">
        <v>29</v>
      </c>
      <c r="B36">
        <v>2966</v>
      </c>
      <c r="C36" t="s">
        <v>108</v>
      </c>
      <c r="D36" t="s">
        <v>40</v>
      </c>
      <c r="E36" t="s">
        <v>23</v>
      </c>
      <c r="F36" t="s">
        <v>109</v>
      </c>
      <c r="G36" t="str">
        <f>"00527702"</f>
        <v>00527702</v>
      </c>
      <c r="H36">
        <v>57.6</v>
      </c>
      <c r="I36">
        <v>0</v>
      </c>
      <c r="M36">
        <v>4</v>
      </c>
      <c r="N36">
        <v>0</v>
      </c>
      <c r="O36">
        <v>0</v>
      </c>
      <c r="P36">
        <v>61.6</v>
      </c>
      <c r="Q36">
        <v>110</v>
      </c>
      <c r="R36">
        <v>110</v>
      </c>
      <c r="S36">
        <v>6</v>
      </c>
      <c r="T36">
        <v>0</v>
      </c>
      <c r="U36" s="1">
        <v>0</v>
      </c>
      <c r="V36">
        <v>177.6</v>
      </c>
    </row>
    <row r="37" spans="1:22" ht="15">
      <c r="A37" s="4">
        <v>30</v>
      </c>
      <c r="B37">
        <v>721</v>
      </c>
      <c r="C37" t="s">
        <v>110</v>
      </c>
      <c r="D37" t="s">
        <v>111</v>
      </c>
      <c r="E37" t="s">
        <v>112</v>
      </c>
      <c r="F37" t="s">
        <v>113</v>
      </c>
      <c r="G37" t="str">
        <f>"00505325"</f>
        <v>00505325</v>
      </c>
      <c r="H37">
        <v>50.4</v>
      </c>
      <c r="I37">
        <v>10</v>
      </c>
      <c r="L37">
        <v>4</v>
      </c>
      <c r="M37">
        <v>4</v>
      </c>
      <c r="N37">
        <v>4</v>
      </c>
      <c r="O37">
        <v>0</v>
      </c>
      <c r="P37">
        <v>68.4</v>
      </c>
      <c r="Q37">
        <v>109</v>
      </c>
      <c r="R37">
        <v>109</v>
      </c>
      <c r="S37">
        <v>0</v>
      </c>
      <c r="T37">
        <v>0</v>
      </c>
      <c r="U37" s="1">
        <v>0</v>
      </c>
      <c r="V37">
        <v>177.4</v>
      </c>
    </row>
    <row r="38" spans="1:22" ht="15">
      <c r="A38" s="4">
        <v>31</v>
      </c>
      <c r="B38">
        <v>1985</v>
      </c>
      <c r="C38" t="s">
        <v>114</v>
      </c>
      <c r="D38" t="s">
        <v>115</v>
      </c>
      <c r="E38" t="s">
        <v>30</v>
      </c>
      <c r="F38" t="s">
        <v>116</v>
      </c>
      <c r="G38" t="str">
        <f>"00481524"</f>
        <v>00481524</v>
      </c>
      <c r="H38">
        <v>50.4</v>
      </c>
      <c r="I38">
        <v>0</v>
      </c>
      <c r="J38">
        <v>8</v>
      </c>
      <c r="M38">
        <v>4</v>
      </c>
      <c r="N38">
        <v>8</v>
      </c>
      <c r="O38">
        <v>0</v>
      </c>
      <c r="P38">
        <v>62.4</v>
      </c>
      <c r="Q38">
        <v>109</v>
      </c>
      <c r="R38">
        <v>109</v>
      </c>
      <c r="S38">
        <v>6</v>
      </c>
      <c r="T38">
        <v>0</v>
      </c>
      <c r="U38" s="1">
        <v>0</v>
      </c>
      <c r="V38">
        <v>177.4</v>
      </c>
    </row>
    <row r="39" spans="1:22" ht="15">
      <c r="A39" s="4">
        <v>32</v>
      </c>
      <c r="B39">
        <v>2160</v>
      </c>
      <c r="C39" t="s">
        <v>117</v>
      </c>
      <c r="D39" t="s">
        <v>118</v>
      </c>
      <c r="E39" t="s">
        <v>15</v>
      </c>
      <c r="F39" t="s">
        <v>119</v>
      </c>
      <c r="G39" t="str">
        <f>"00484199"</f>
        <v>00484199</v>
      </c>
      <c r="H39">
        <v>57.6</v>
      </c>
      <c r="I39">
        <v>10</v>
      </c>
      <c r="L39">
        <v>4</v>
      </c>
      <c r="M39">
        <v>4</v>
      </c>
      <c r="N39">
        <v>4</v>
      </c>
      <c r="O39">
        <v>0</v>
      </c>
      <c r="P39">
        <v>75.6</v>
      </c>
      <c r="Q39">
        <v>92</v>
      </c>
      <c r="R39">
        <v>92</v>
      </c>
      <c r="S39">
        <v>9</v>
      </c>
      <c r="T39">
        <v>0</v>
      </c>
      <c r="U39" s="1">
        <v>0</v>
      </c>
      <c r="V39">
        <v>176.6</v>
      </c>
    </row>
    <row r="40" spans="1:22" ht="15">
      <c r="A40" s="4">
        <v>33</v>
      </c>
      <c r="B40">
        <v>1768</v>
      </c>
      <c r="C40" t="s">
        <v>120</v>
      </c>
      <c r="D40" t="s">
        <v>121</v>
      </c>
      <c r="E40" t="s">
        <v>112</v>
      </c>
      <c r="F40" t="s">
        <v>122</v>
      </c>
      <c r="G40" t="str">
        <f>"00500135"</f>
        <v>00500135</v>
      </c>
      <c r="H40">
        <v>57.6</v>
      </c>
      <c r="I40">
        <v>10</v>
      </c>
      <c r="M40">
        <v>4</v>
      </c>
      <c r="N40">
        <v>0</v>
      </c>
      <c r="O40">
        <v>2</v>
      </c>
      <c r="P40">
        <v>73.6</v>
      </c>
      <c r="Q40">
        <v>97</v>
      </c>
      <c r="R40">
        <v>97</v>
      </c>
      <c r="S40">
        <v>6</v>
      </c>
      <c r="T40">
        <v>0</v>
      </c>
      <c r="U40" s="1">
        <v>0</v>
      </c>
      <c r="V40">
        <v>176.6</v>
      </c>
    </row>
    <row r="41" spans="1:22" ht="15">
      <c r="A41" s="4">
        <v>34</v>
      </c>
      <c r="B41">
        <v>359</v>
      </c>
      <c r="C41" t="s">
        <v>123</v>
      </c>
      <c r="D41" t="s">
        <v>124</v>
      </c>
      <c r="E41" t="s">
        <v>86</v>
      </c>
      <c r="F41" t="s">
        <v>125</v>
      </c>
      <c r="G41" t="str">
        <f>"00494612"</f>
        <v>00494612</v>
      </c>
      <c r="H41">
        <v>50.4</v>
      </c>
      <c r="I41">
        <v>10</v>
      </c>
      <c r="L41">
        <v>4</v>
      </c>
      <c r="M41">
        <v>4</v>
      </c>
      <c r="N41">
        <v>4</v>
      </c>
      <c r="O41">
        <v>0</v>
      </c>
      <c r="P41">
        <v>68.4</v>
      </c>
      <c r="Q41">
        <v>96</v>
      </c>
      <c r="R41">
        <v>96</v>
      </c>
      <c r="S41">
        <v>12</v>
      </c>
      <c r="T41">
        <v>0</v>
      </c>
      <c r="U41" s="1">
        <v>0</v>
      </c>
      <c r="V41">
        <v>176.4</v>
      </c>
    </row>
    <row r="42" spans="1:22" ht="15">
      <c r="A42" s="4">
        <v>35</v>
      </c>
      <c r="B42">
        <v>409</v>
      </c>
      <c r="C42" t="s">
        <v>126</v>
      </c>
      <c r="D42" t="s">
        <v>127</v>
      </c>
      <c r="E42" t="s">
        <v>19</v>
      </c>
      <c r="F42" t="s">
        <v>128</v>
      </c>
      <c r="G42" t="str">
        <f>"00533203"</f>
        <v>00533203</v>
      </c>
      <c r="H42">
        <v>50.4</v>
      </c>
      <c r="I42">
        <v>10</v>
      </c>
      <c r="J42">
        <v>8</v>
      </c>
      <c r="M42">
        <v>4</v>
      </c>
      <c r="N42">
        <v>8</v>
      </c>
      <c r="O42">
        <v>2</v>
      </c>
      <c r="P42">
        <v>74.4</v>
      </c>
      <c r="Q42">
        <v>102</v>
      </c>
      <c r="R42">
        <v>102</v>
      </c>
      <c r="S42">
        <v>0</v>
      </c>
      <c r="T42">
        <v>0</v>
      </c>
      <c r="U42" s="1">
        <v>0</v>
      </c>
      <c r="V42">
        <v>176.4</v>
      </c>
    </row>
    <row r="43" spans="1:22" ht="15">
      <c r="A43" s="4">
        <v>36</v>
      </c>
      <c r="B43">
        <v>291</v>
      </c>
      <c r="C43" t="s">
        <v>129</v>
      </c>
      <c r="D43" t="s">
        <v>130</v>
      </c>
      <c r="E43" t="s">
        <v>131</v>
      </c>
      <c r="F43" t="s">
        <v>132</v>
      </c>
      <c r="G43" t="str">
        <f>"00527606"</f>
        <v>00527606</v>
      </c>
      <c r="H43">
        <v>30.68</v>
      </c>
      <c r="I43">
        <v>0</v>
      </c>
      <c r="M43">
        <v>4</v>
      </c>
      <c r="N43">
        <v>0</v>
      </c>
      <c r="O43">
        <v>0</v>
      </c>
      <c r="P43">
        <v>34.68</v>
      </c>
      <c r="Q43">
        <v>106</v>
      </c>
      <c r="R43">
        <v>106</v>
      </c>
      <c r="S43">
        <v>3</v>
      </c>
      <c r="T43">
        <v>32</v>
      </c>
      <c r="U43" s="1">
        <v>0</v>
      </c>
      <c r="V43">
        <v>175.68</v>
      </c>
    </row>
    <row r="44" spans="1:22" ht="15">
      <c r="A44" s="4">
        <v>37</v>
      </c>
      <c r="B44">
        <v>2676</v>
      </c>
      <c r="C44" t="s">
        <v>133</v>
      </c>
      <c r="D44" t="s">
        <v>54</v>
      </c>
      <c r="E44" t="s">
        <v>134</v>
      </c>
      <c r="F44" t="s">
        <v>135</v>
      </c>
      <c r="G44" t="str">
        <f>"00532888"</f>
        <v>00532888</v>
      </c>
      <c r="H44">
        <v>37.32</v>
      </c>
      <c r="I44">
        <v>10</v>
      </c>
      <c r="L44">
        <v>4</v>
      </c>
      <c r="M44">
        <v>4</v>
      </c>
      <c r="N44">
        <v>4</v>
      </c>
      <c r="O44">
        <v>0</v>
      </c>
      <c r="P44">
        <v>55.32</v>
      </c>
      <c r="Q44">
        <v>114</v>
      </c>
      <c r="R44">
        <v>114</v>
      </c>
      <c r="S44">
        <v>6</v>
      </c>
      <c r="T44">
        <v>0</v>
      </c>
      <c r="U44" s="1">
        <v>0</v>
      </c>
      <c r="V44">
        <v>175.32</v>
      </c>
    </row>
    <row r="45" spans="1:22" ht="15">
      <c r="A45" s="4">
        <v>38</v>
      </c>
      <c r="B45">
        <v>1149</v>
      </c>
      <c r="C45" t="s">
        <v>136</v>
      </c>
      <c r="D45" t="s">
        <v>137</v>
      </c>
      <c r="E45" t="s">
        <v>15</v>
      </c>
      <c r="F45" t="s">
        <v>138</v>
      </c>
      <c r="G45" t="str">
        <f>"00504552"</f>
        <v>00504552</v>
      </c>
      <c r="H45">
        <v>57.6</v>
      </c>
      <c r="I45">
        <v>10</v>
      </c>
      <c r="L45">
        <v>4</v>
      </c>
      <c r="M45">
        <v>4</v>
      </c>
      <c r="N45">
        <v>4</v>
      </c>
      <c r="O45">
        <v>0</v>
      </c>
      <c r="P45">
        <v>75.6</v>
      </c>
      <c r="Q45">
        <v>98</v>
      </c>
      <c r="R45">
        <v>98</v>
      </c>
      <c r="S45">
        <v>0</v>
      </c>
      <c r="T45">
        <v>0</v>
      </c>
      <c r="U45" s="1">
        <v>0</v>
      </c>
      <c r="V45">
        <v>173.6</v>
      </c>
    </row>
    <row r="46" spans="1:22" ht="15">
      <c r="A46" s="4">
        <v>39</v>
      </c>
      <c r="B46">
        <v>40</v>
      </c>
      <c r="C46" t="s">
        <v>139</v>
      </c>
      <c r="D46" t="s">
        <v>127</v>
      </c>
      <c r="E46" t="s">
        <v>23</v>
      </c>
      <c r="F46" t="s">
        <v>140</v>
      </c>
      <c r="G46" t="str">
        <f>"00498181"</f>
        <v>00498181</v>
      </c>
      <c r="H46">
        <v>50.4</v>
      </c>
      <c r="I46">
        <v>0</v>
      </c>
      <c r="L46">
        <v>4</v>
      </c>
      <c r="M46">
        <v>4</v>
      </c>
      <c r="N46">
        <v>4</v>
      </c>
      <c r="O46">
        <v>2</v>
      </c>
      <c r="P46">
        <v>60.4</v>
      </c>
      <c r="Q46">
        <v>110</v>
      </c>
      <c r="R46">
        <v>110</v>
      </c>
      <c r="S46">
        <v>3</v>
      </c>
      <c r="T46">
        <v>0</v>
      </c>
      <c r="U46" s="1" t="s">
        <v>6251</v>
      </c>
      <c r="V46">
        <v>173.4</v>
      </c>
    </row>
    <row r="47" spans="1:22" ht="15">
      <c r="A47" s="4">
        <v>40</v>
      </c>
      <c r="B47">
        <v>965</v>
      </c>
      <c r="C47" t="s">
        <v>141</v>
      </c>
      <c r="D47" t="s">
        <v>73</v>
      </c>
      <c r="E47" t="s">
        <v>23</v>
      </c>
      <c r="F47" t="s">
        <v>142</v>
      </c>
      <c r="G47" t="str">
        <f>"00149095"</f>
        <v>00149095</v>
      </c>
      <c r="H47">
        <v>38.24</v>
      </c>
      <c r="I47">
        <v>10</v>
      </c>
      <c r="J47">
        <v>8</v>
      </c>
      <c r="M47">
        <v>4</v>
      </c>
      <c r="N47">
        <v>8</v>
      </c>
      <c r="O47">
        <v>0</v>
      </c>
      <c r="P47">
        <v>60.24</v>
      </c>
      <c r="Q47">
        <v>113</v>
      </c>
      <c r="R47">
        <v>113</v>
      </c>
      <c r="S47">
        <v>0</v>
      </c>
      <c r="T47">
        <v>0</v>
      </c>
      <c r="U47" s="1">
        <v>0</v>
      </c>
      <c r="V47">
        <v>173.24</v>
      </c>
    </row>
    <row r="48" spans="1:22" ht="15">
      <c r="A48" s="4">
        <v>41</v>
      </c>
      <c r="B48">
        <v>403</v>
      </c>
      <c r="C48" t="s">
        <v>143</v>
      </c>
      <c r="D48" t="s">
        <v>40</v>
      </c>
      <c r="E48" t="s">
        <v>73</v>
      </c>
      <c r="F48" t="s">
        <v>144</v>
      </c>
      <c r="G48" t="str">
        <f>"00530841"</f>
        <v>00530841</v>
      </c>
      <c r="H48">
        <v>28.8</v>
      </c>
      <c r="I48">
        <v>10</v>
      </c>
      <c r="J48">
        <v>8</v>
      </c>
      <c r="M48">
        <v>4</v>
      </c>
      <c r="N48">
        <v>8</v>
      </c>
      <c r="O48">
        <v>0</v>
      </c>
      <c r="P48">
        <v>50.8</v>
      </c>
      <c r="Q48">
        <v>116</v>
      </c>
      <c r="R48">
        <v>116</v>
      </c>
      <c r="S48">
        <v>6</v>
      </c>
      <c r="T48">
        <v>0</v>
      </c>
      <c r="U48" s="1">
        <v>0</v>
      </c>
      <c r="V48">
        <v>172.8</v>
      </c>
    </row>
    <row r="49" spans="1:22" ht="15">
      <c r="A49" s="4">
        <v>42</v>
      </c>
      <c r="B49">
        <v>610</v>
      </c>
      <c r="C49" t="s">
        <v>145</v>
      </c>
      <c r="D49" t="s">
        <v>26</v>
      </c>
      <c r="E49" t="s">
        <v>146</v>
      </c>
      <c r="F49" t="s">
        <v>147</v>
      </c>
      <c r="G49" t="str">
        <f>"00509817"</f>
        <v>00509817</v>
      </c>
      <c r="H49">
        <v>57.6</v>
      </c>
      <c r="I49">
        <v>0</v>
      </c>
      <c r="M49">
        <v>4</v>
      </c>
      <c r="N49">
        <v>0</v>
      </c>
      <c r="O49">
        <v>2</v>
      </c>
      <c r="P49">
        <v>63.6</v>
      </c>
      <c r="Q49">
        <v>102</v>
      </c>
      <c r="R49">
        <v>102</v>
      </c>
      <c r="S49">
        <v>6</v>
      </c>
      <c r="T49">
        <v>0</v>
      </c>
      <c r="U49" s="1">
        <v>0</v>
      </c>
      <c r="V49">
        <v>171.6</v>
      </c>
    </row>
    <row r="50" spans="1:22" ht="15">
      <c r="A50" s="4">
        <v>43</v>
      </c>
      <c r="B50">
        <v>1793</v>
      </c>
      <c r="C50" t="s">
        <v>148</v>
      </c>
      <c r="D50" t="s">
        <v>76</v>
      </c>
      <c r="E50" t="s">
        <v>30</v>
      </c>
      <c r="F50" t="s">
        <v>149</v>
      </c>
      <c r="G50" t="str">
        <f>"00146696"</f>
        <v>00146696</v>
      </c>
      <c r="H50">
        <v>40</v>
      </c>
      <c r="I50">
        <v>10</v>
      </c>
      <c r="L50">
        <v>4</v>
      </c>
      <c r="M50">
        <v>4</v>
      </c>
      <c r="N50">
        <v>4</v>
      </c>
      <c r="O50">
        <v>0</v>
      </c>
      <c r="P50">
        <v>58</v>
      </c>
      <c r="Q50">
        <v>113</v>
      </c>
      <c r="R50">
        <v>113</v>
      </c>
      <c r="S50">
        <v>0</v>
      </c>
      <c r="T50">
        <v>0</v>
      </c>
      <c r="U50" s="1">
        <v>0</v>
      </c>
      <c r="V50">
        <v>171</v>
      </c>
    </row>
    <row r="51" spans="1:22" ht="15">
      <c r="A51" s="4">
        <v>44</v>
      </c>
      <c r="B51">
        <v>2977</v>
      </c>
      <c r="C51" t="s">
        <v>150</v>
      </c>
      <c r="D51" t="s">
        <v>151</v>
      </c>
      <c r="E51" t="s">
        <v>83</v>
      </c>
      <c r="F51" t="s">
        <v>152</v>
      </c>
      <c r="G51" t="str">
        <f>"00530340"</f>
        <v>00530340</v>
      </c>
      <c r="H51">
        <v>50.4</v>
      </c>
      <c r="I51">
        <v>0</v>
      </c>
      <c r="M51">
        <v>4</v>
      </c>
      <c r="N51">
        <v>0</v>
      </c>
      <c r="O51">
        <v>0</v>
      </c>
      <c r="P51">
        <v>54.4</v>
      </c>
      <c r="Q51">
        <v>113</v>
      </c>
      <c r="R51">
        <v>113</v>
      </c>
      <c r="S51">
        <v>3</v>
      </c>
      <c r="T51">
        <v>0</v>
      </c>
      <c r="U51" s="1">
        <v>0</v>
      </c>
      <c r="V51">
        <v>170.4</v>
      </c>
    </row>
    <row r="52" spans="1:22" ht="15">
      <c r="A52" s="4">
        <v>45</v>
      </c>
      <c r="B52">
        <v>3145</v>
      </c>
      <c r="C52" t="s">
        <v>153</v>
      </c>
      <c r="D52" t="s">
        <v>14</v>
      </c>
      <c r="E52" t="s">
        <v>19</v>
      </c>
      <c r="F52" t="s">
        <v>154</v>
      </c>
      <c r="G52" t="str">
        <f>"00531831"</f>
        <v>00531831</v>
      </c>
      <c r="H52">
        <v>39.72</v>
      </c>
      <c r="I52">
        <v>0</v>
      </c>
      <c r="L52">
        <v>4</v>
      </c>
      <c r="M52">
        <v>4</v>
      </c>
      <c r="N52">
        <v>4</v>
      </c>
      <c r="O52">
        <v>0</v>
      </c>
      <c r="P52">
        <v>47.72</v>
      </c>
      <c r="Q52">
        <v>119</v>
      </c>
      <c r="R52">
        <v>119</v>
      </c>
      <c r="S52">
        <v>3</v>
      </c>
      <c r="T52">
        <v>0</v>
      </c>
      <c r="U52" s="1">
        <v>0</v>
      </c>
      <c r="V52">
        <v>169.72</v>
      </c>
    </row>
    <row r="53" spans="1:22" ht="15">
      <c r="A53" s="4">
        <v>46</v>
      </c>
      <c r="B53">
        <v>3269</v>
      </c>
      <c r="C53" t="s">
        <v>155</v>
      </c>
      <c r="D53" t="s">
        <v>156</v>
      </c>
      <c r="E53" t="s">
        <v>157</v>
      </c>
      <c r="F53" t="s">
        <v>158</v>
      </c>
      <c r="G53" t="str">
        <f>"00500147"</f>
        <v>00500147</v>
      </c>
      <c r="H53">
        <v>50.4</v>
      </c>
      <c r="I53">
        <v>10</v>
      </c>
      <c r="L53">
        <v>4</v>
      </c>
      <c r="M53">
        <v>4</v>
      </c>
      <c r="N53">
        <v>4</v>
      </c>
      <c r="O53">
        <v>0</v>
      </c>
      <c r="P53">
        <v>68.4</v>
      </c>
      <c r="Q53">
        <v>95</v>
      </c>
      <c r="R53">
        <v>95</v>
      </c>
      <c r="S53">
        <v>6</v>
      </c>
      <c r="T53">
        <v>0</v>
      </c>
      <c r="U53" s="1">
        <v>0</v>
      </c>
      <c r="V53">
        <v>169.4</v>
      </c>
    </row>
    <row r="54" spans="1:22" ht="15">
      <c r="A54" s="4">
        <v>47</v>
      </c>
      <c r="B54">
        <v>2937</v>
      </c>
      <c r="C54" t="s">
        <v>159</v>
      </c>
      <c r="D54" t="s">
        <v>160</v>
      </c>
      <c r="E54" t="s">
        <v>161</v>
      </c>
      <c r="F54" t="s">
        <v>162</v>
      </c>
      <c r="G54" t="str">
        <f>"00481085"</f>
        <v>00481085</v>
      </c>
      <c r="H54">
        <v>50.4</v>
      </c>
      <c r="I54">
        <v>0</v>
      </c>
      <c r="L54">
        <v>4</v>
      </c>
      <c r="M54">
        <v>0</v>
      </c>
      <c r="N54">
        <v>4</v>
      </c>
      <c r="O54">
        <v>0</v>
      </c>
      <c r="P54">
        <v>54.4</v>
      </c>
      <c r="Q54">
        <v>115</v>
      </c>
      <c r="R54">
        <v>115</v>
      </c>
      <c r="S54">
        <v>0</v>
      </c>
      <c r="T54">
        <v>0</v>
      </c>
      <c r="U54" s="1">
        <v>0</v>
      </c>
      <c r="V54">
        <v>169.4</v>
      </c>
    </row>
    <row r="55" spans="1:22" ht="15">
      <c r="A55" s="4">
        <v>48</v>
      </c>
      <c r="B55">
        <v>2352</v>
      </c>
      <c r="C55" t="s">
        <v>163</v>
      </c>
      <c r="D55" t="s">
        <v>164</v>
      </c>
      <c r="E55" t="s">
        <v>90</v>
      </c>
      <c r="F55" t="s">
        <v>165</v>
      </c>
      <c r="G55" t="str">
        <f>"00533403"</f>
        <v>00533403</v>
      </c>
      <c r="H55">
        <v>43.2</v>
      </c>
      <c r="I55">
        <v>0</v>
      </c>
      <c r="J55">
        <v>8</v>
      </c>
      <c r="M55">
        <v>4</v>
      </c>
      <c r="N55">
        <v>8</v>
      </c>
      <c r="O55">
        <v>0</v>
      </c>
      <c r="P55">
        <v>55.2</v>
      </c>
      <c r="Q55">
        <v>113</v>
      </c>
      <c r="R55">
        <v>113</v>
      </c>
      <c r="S55">
        <v>0</v>
      </c>
      <c r="T55">
        <v>0</v>
      </c>
      <c r="U55" s="1">
        <v>0</v>
      </c>
      <c r="V55">
        <v>168.2</v>
      </c>
    </row>
    <row r="56" spans="1:22" ht="15">
      <c r="A56" s="4">
        <v>49</v>
      </c>
      <c r="B56">
        <v>696</v>
      </c>
      <c r="C56" t="s">
        <v>166</v>
      </c>
      <c r="D56" t="s">
        <v>89</v>
      </c>
      <c r="E56" t="s">
        <v>167</v>
      </c>
      <c r="F56" t="s">
        <v>168</v>
      </c>
      <c r="G56" t="str">
        <f>"00507281"</f>
        <v>00507281</v>
      </c>
      <c r="H56">
        <v>39.16</v>
      </c>
      <c r="I56">
        <v>0</v>
      </c>
      <c r="M56">
        <v>4</v>
      </c>
      <c r="N56">
        <v>0</v>
      </c>
      <c r="O56">
        <v>2</v>
      </c>
      <c r="P56">
        <v>45.16</v>
      </c>
      <c r="Q56">
        <v>120</v>
      </c>
      <c r="R56">
        <v>120</v>
      </c>
      <c r="S56">
        <v>3</v>
      </c>
      <c r="T56">
        <v>0</v>
      </c>
      <c r="U56" s="1">
        <v>0</v>
      </c>
      <c r="V56">
        <v>168.16</v>
      </c>
    </row>
    <row r="57" spans="1:22" ht="15">
      <c r="A57" s="4">
        <v>50</v>
      </c>
      <c r="B57">
        <v>776</v>
      </c>
      <c r="C57" t="s">
        <v>169</v>
      </c>
      <c r="D57" t="s">
        <v>170</v>
      </c>
      <c r="E57" t="s">
        <v>11</v>
      </c>
      <c r="F57" t="s">
        <v>171</v>
      </c>
      <c r="G57" t="str">
        <f>"00132890"</f>
        <v>00132890</v>
      </c>
      <c r="H57">
        <v>64.8</v>
      </c>
      <c r="I57">
        <v>10</v>
      </c>
      <c r="J57">
        <v>8</v>
      </c>
      <c r="M57">
        <v>4</v>
      </c>
      <c r="N57">
        <v>8</v>
      </c>
      <c r="O57">
        <v>2</v>
      </c>
      <c r="P57">
        <v>88.8</v>
      </c>
      <c r="Q57">
        <v>79</v>
      </c>
      <c r="R57">
        <v>79</v>
      </c>
      <c r="S57">
        <v>0</v>
      </c>
      <c r="T57">
        <v>0</v>
      </c>
      <c r="U57" s="1" t="s">
        <v>6251</v>
      </c>
      <c r="V57">
        <v>167.8</v>
      </c>
    </row>
    <row r="58" spans="1:22" ht="15">
      <c r="A58" s="4">
        <v>51</v>
      </c>
      <c r="B58">
        <v>1177</v>
      </c>
      <c r="C58" t="s">
        <v>172</v>
      </c>
      <c r="D58" t="s">
        <v>173</v>
      </c>
      <c r="E58" t="s">
        <v>30</v>
      </c>
      <c r="F58" t="s">
        <v>174</v>
      </c>
      <c r="G58" t="str">
        <f>"00519926"</f>
        <v>00519926</v>
      </c>
      <c r="H58">
        <v>57.6</v>
      </c>
      <c r="I58">
        <v>10</v>
      </c>
      <c r="L58">
        <v>4</v>
      </c>
      <c r="M58">
        <v>4</v>
      </c>
      <c r="N58">
        <v>4</v>
      </c>
      <c r="O58">
        <v>2</v>
      </c>
      <c r="P58">
        <v>77.6</v>
      </c>
      <c r="Q58">
        <v>87</v>
      </c>
      <c r="R58">
        <v>87</v>
      </c>
      <c r="S58">
        <v>3</v>
      </c>
      <c r="T58">
        <v>0</v>
      </c>
      <c r="U58" s="1">
        <v>0</v>
      </c>
      <c r="V58">
        <v>167.6</v>
      </c>
    </row>
    <row r="59" spans="1:22" ht="15">
      <c r="A59" s="4">
        <v>52</v>
      </c>
      <c r="B59">
        <v>735</v>
      </c>
      <c r="C59" t="s">
        <v>175</v>
      </c>
      <c r="D59" t="s">
        <v>176</v>
      </c>
      <c r="E59" t="s">
        <v>99</v>
      </c>
      <c r="F59" t="s">
        <v>177</v>
      </c>
      <c r="G59" t="str">
        <f>"00148181"</f>
        <v>00148181</v>
      </c>
      <c r="H59">
        <v>43.2</v>
      </c>
      <c r="I59">
        <v>10</v>
      </c>
      <c r="M59">
        <v>4</v>
      </c>
      <c r="N59">
        <v>0</v>
      </c>
      <c r="O59">
        <v>0</v>
      </c>
      <c r="P59">
        <v>57.2</v>
      </c>
      <c r="Q59">
        <v>107</v>
      </c>
      <c r="R59">
        <v>107</v>
      </c>
      <c r="S59">
        <v>3</v>
      </c>
      <c r="T59">
        <v>0</v>
      </c>
      <c r="U59" s="1">
        <v>0</v>
      </c>
      <c r="V59">
        <v>167.2</v>
      </c>
    </row>
    <row r="60" spans="1:22" ht="15">
      <c r="A60" s="4">
        <v>53</v>
      </c>
      <c r="B60">
        <v>2596</v>
      </c>
      <c r="C60" t="s">
        <v>178</v>
      </c>
      <c r="D60" t="s">
        <v>179</v>
      </c>
      <c r="E60" t="s">
        <v>23</v>
      </c>
      <c r="F60" t="s">
        <v>180</v>
      </c>
      <c r="G60" t="str">
        <f>"00532044"</f>
        <v>00532044</v>
      </c>
      <c r="H60">
        <v>43.2</v>
      </c>
      <c r="I60">
        <v>0</v>
      </c>
      <c r="J60">
        <v>8</v>
      </c>
      <c r="M60">
        <v>4</v>
      </c>
      <c r="N60">
        <v>8</v>
      </c>
      <c r="O60">
        <v>2</v>
      </c>
      <c r="P60">
        <v>57.2</v>
      </c>
      <c r="Q60">
        <v>104</v>
      </c>
      <c r="R60">
        <v>104</v>
      </c>
      <c r="S60">
        <v>6</v>
      </c>
      <c r="T60">
        <v>0</v>
      </c>
      <c r="U60" s="1" t="s">
        <v>6251</v>
      </c>
      <c r="V60">
        <v>167.2</v>
      </c>
    </row>
    <row r="61" spans="1:22" ht="15">
      <c r="A61" s="4">
        <v>54</v>
      </c>
      <c r="B61">
        <v>3446</v>
      </c>
      <c r="C61" t="s">
        <v>181</v>
      </c>
      <c r="D61" t="s">
        <v>182</v>
      </c>
      <c r="E61" t="s">
        <v>183</v>
      </c>
      <c r="F61" t="s">
        <v>184</v>
      </c>
      <c r="G61" t="str">
        <f>"00431949"</f>
        <v>00431949</v>
      </c>
      <c r="H61">
        <v>72</v>
      </c>
      <c r="I61">
        <v>10</v>
      </c>
      <c r="L61">
        <v>4</v>
      </c>
      <c r="M61">
        <v>4</v>
      </c>
      <c r="N61">
        <v>4</v>
      </c>
      <c r="O61">
        <v>0</v>
      </c>
      <c r="P61">
        <v>90</v>
      </c>
      <c r="Q61">
        <v>77</v>
      </c>
      <c r="R61">
        <v>77</v>
      </c>
      <c r="S61">
        <v>0</v>
      </c>
      <c r="T61">
        <v>0</v>
      </c>
      <c r="U61" s="1">
        <v>0</v>
      </c>
      <c r="V61">
        <v>167</v>
      </c>
    </row>
    <row r="62" spans="1:22" ht="15">
      <c r="A62" s="4">
        <v>55</v>
      </c>
      <c r="B62">
        <v>2327</v>
      </c>
      <c r="C62" t="s">
        <v>185</v>
      </c>
      <c r="D62" t="s">
        <v>173</v>
      </c>
      <c r="E62" t="s">
        <v>186</v>
      </c>
      <c r="F62" t="s">
        <v>187</v>
      </c>
      <c r="G62" t="str">
        <f>"00441572"</f>
        <v>00441572</v>
      </c>
      <c r="H62">
        <v>64.8</v>
      </c>
      <c r="I62">
        <v>10</v>
      </c>
      <c r="L62">
        <v>4</v>
      </c>
      <c r="M62">
        <v>4</v>
      </c>
      <c r="N62">
        <v>4</v>
      </c>
      <c r="O62">
        <v>0</v>
      </c>
      <c r="P62">
        <v>82.8</v>
      </c>
      <c r="Q62">
        <v>78</v>
      </c>
      <c r="R62">
        <v>78</v>
      </c>
      <c r="S62">
        <v>6</v>
      </c>
      <c r="T62">
        <v>0</v>
      </c>
      <c r="U62" s="1">
        <v>0</v>
      </c>
      <c r="V62">
        <v>166.8</v>
      </c>
    </row>
    <row r="63" spans="1:22" ht="15">
      <c r="A63" s="4">
        <v>56</v>
      </c>
      <c r="B63">
        <v>2440</v>
      </c>
      <c r="C63" t="s">
        <v>188</v>
      </c>
      <c r="D63" t="s">
        <v>189</v>
      </c>
      <c r="E63" t="s">
        <v>190</v>
      </c>
      <c r="F63" t="s">
        <v>191</v>
      </c>
      <c r="G63" t="str">
        <f>"00493412"</f>
        <v>00493412</v>
      </c>
      <c r="H63">
        <v>43.2</v>
      </c>
      <c r="I63">
        <v>0</v>
      </c>
      <c r="J63">
        <v>16</v>
      </c>
      <c r="M63">
        <v>4</v>
      </c>
      <c r="N63">
        <v>16</v>
      </c>
      <c r="O63">
        <v>0</v>
      </c>
      <c r="P63">
        <v>63.2</v>
      </c>
      <c r="Q63">
        <v>97</v>
      </c>
      <c r="R63">
        <v>97</v>
      </c>
      <c r="S63">
        <v>6</v>
      </c>
      <c r="T63">
        <v>0</v>
      </c>
      <c r="U63" s="1" t="s">
        <v>6251</v>
      </c>
      <c r="V63">
        <v>166.2</v>
      </c>
    </row>
    <row r="64" spans="1:22" ht="15">
      <c r="A64" s="4">
        <v>57</v>
      </c>
      <c r="B64">
        <v>1924</v>
      </c>
      <c r="C64" t="s">
        <v>192</v>
      </c>
      <c r="D64" t="s">
        <v>193</v>
      </c>
      <c r="E64" t="s">
        <v>23</v>
      </c>
      <c r="F64" t="s">
        <v>194</v>
      </c>
      <c r="G64" t="str">
        <f>"00503728"</f>
        <v>00503728</v>
      </c>
      <c r="H64">
        <v>64.8</v>
      </c>
      <c r="I64">
        <v>10</v>
      </c>
      <c r="M64">
        <v>4</v>
      </c>
      <c r="N64">
        <v>0</v>
      </c>
      <c r="O64">
        <v>0</v>
      </c>
      <c r="P64">
        <v>78.8</v>
      </c>
      <c r="Q64">
        <v>87</v>
      </c>
      <c r="R64">
        <v>87</v>
      </c>
      <c r="S64">
        <v>0</v>
      </c>
      <c r="T64">
        <v>0</v>
      </c>
      <c r="U64" s="1">
        <v>0</v>
      </c>
      <c r="V64">
        <v>165.8</v>
      </c>
    </row>
    <row r="65" spans="1:22" ht="15">
      <c r="A65" s="4">
        <v>58</v>
      </c>
      <c r="B65">
        <v>1007</v>
      </c>
      <c r="C65" t="s">
        <v>13</v>
      </c>
      <c r="D65" t="s">
        <v>40</v>
      </c>
      <c r="E65" t="s">
        <v>30</v>
      </c>
      <c r="F65" t="s">
        <v>195</v>
      </c>
      <c r="G65" t="str">
        <f>"00480955"</f>
        <v>00480955</v>
      </c>
      <c r="H65">
        <v>34.68</v>
      </c>
      <c r="I65">
        <v>10</v>
      </c>
      <c r="L65">
        <v>4</v>
      </c>
      <c r="M65">
        <v>0</v>
      </c>
      <c r="N65">
        <v>4</v>
      </c>
      <c r="O65">
        <v>0</v>
      </c>
      <c r="P65">
        <v>48.68</v>
      </c>
      <c r="Q65">
        <v>111</v>
      </c>
      <c r="R65">
        <v>111</v>
      </c>
      <c r="S65">
        <v>6</v>
      </c>
      <c r="T65">
        <v>0</v>
      </c>
      <c r="U65" s="1">
        <v>0</v>
      </c>
      <c r="V65">
        <v>165.68</v>
      </c>
    </row>
    <row r="66" spans="1:22" ht="15">
      <c r="A66" s="4">
        <v>59</v>
      </c>
      <c r="B66">
        <v>3025</v>
      </c>
      <c r="C66" t="s">
        <v>196</v>
      </c>
      <c r="D66" t="s">
        <v>14</v>
      </c>
      <c r="E66" t="s">
        <v>197</v>
      </c>
      <c r="F66" t="s">
        <v>198</v>
      </c>
      <c r="G66" t="str">
        <f>"00148182"</f>
        <v>00148182</v>
      </c>
      <c r="H66">
        <v>43.2</v>
      </c>
      <c r="I66">
        <v>10</v>
      </c>
      <c r="M66">
        <v>0</v>
      </c>
      <c r="N66">
        <v>0</v>
      </c>
      <c r="O66">
        <v>0</v>
      </c>
      <c r="P66">
        <v>53.2</v>
      </c>
      <c r="Q66">
        <v>106</v>
      </c>
      <c r="R66">
        <v>106</v>
      </c>
      <c r="S66">
        <v>6</v>
      </c>
      <c r="T66">
        <v>0</v>
      </c>
      <c r="U66" s="1" t="s">
        <v>6251</v>
      </c>
      <c r="V66">
        <v>165.2</v>
      </c>
    </row>
    <row r="67" spans="1:22" ht="15">
      <c r="A67" s="4">
        <v>60</v>
      </c>
      <c r="B67">
        <v>2418</v>
      </c>
      <c r="C67" t="s">
        <v>199</v>
      </c>
      <c r="D67" t="s">
        <v>200</v>
      </c>
      <c r="E67" t="s">
        <v>201</v>
      </c>
      <c r="F67" t="s">
        <v>202</v>
      </c>
      <c r="G67" t="str">
        <f>"00531396"</f>
        <v>00531396</v>
      </c>
      <c r="H67">
        <v>32</v>
      </c>
      <c r="I67">
        <v>0</v>
      </c>
      <c r="M67">
        <v>4</v>
      </c>
      <c r="N67">
        <v>0</v>
      </c>
      <c r="O67">
        <v>0</v>
      </c>
      <c r="P67">
        <v>36</v>
      </c>
      <c r="Q67">
        <v>120</v>
      </c>
      <c r="R67">
        <v>120</v>
      </c>
      <c r="S67">
        <v>9</v>
      </c>
      <c r="T67">
        <v>0</v>
      </c>
      <c r="U67" s="1">
        <v>0</v>
      </c>
      <c r="V67">
        <v>165</v>
      </c>
    </row>
    <row r="68" spans="1:22" ht="15">
      <c r="A68" s="4">
        <v>61</v>
      </c>
      <c r="B68">
        <v>878</v>
      </c>
      <c r="C68" t="s">
        <v>203</v>
      </c>
      <c r="D68" t="s">
        <v>137</v>
      </c>
      <c r="E68" t="s">
        <v>90</v>
      </c>
      <c r="F68" t="s">
        <v>204</v>
      </c>
      <c r="G68" t="str">
        <f>"00509337"</f>
        <v>00509337</v>
      </c>
      <c r="H68">
        <v>36</v>
      </c>
      <c r="I68">
        <v>0</v>
      </c>
      <c r="L68">
        <v>4</v>
      </c>
      <c r="M68">
        <v>4</v>
      </c>
      <c r="N68">
        <v>4</v>
      </c>
      <c r="O68">
        <v>2</v>
      </c>
      <c r="P68">
        <v>46</v>
      </c>
      <c r="Q68">
        <v>115</v>
      </c>
      <c r="R68">
        <v>115</v>
      </c>
      <c r="S68">
        <v>3</v>
      </c>
      <c r="T68">
        <v>0</v>
      </c>
      <c r="U68" s="1">
        <v>0</v>
      </c>
      <c r="V68">
        <v>164</v>
      </c>
    </row>
    <row r="69" spans="1:22" ht="15">
      <c r="A69" s="4">
        <v>62</v>
      </c>
      <c r="B69">
        <v>526</v>
      </c>
      <c r="C69" t="s">
        <v>205</v>
      </c>
      <c r="D69" t="s">
        <v>76</v>
      </c>
      <c r="E69" t="s">
        <v>23</v>
      </c>
      <c r="F69" t="s">
        <v>206</v>
      </c>
      <c r="G69" t="str">
        <f>"00507054"</f>
        <v>00507054</v>
      </c>
      <c r="H69">
        <v>72</v>
      </c>
      <c r="I69">
        <v>0</v>
      </c>
      <c r="J69">
        <v>8</v>
      </c>
      <c r="M69">
        <v>4</v>
      </c>
      <c r="N69">
        <v>8</v>
      </c>
      <c r="O69">
        <v>0</v>
      </c>
      <c r="P69">
        <v>84</v>
      </c>
      <c r="Q69">
        <v>77</v>
      </c>
      <c r="R69">
        <v>77</v>
      </c>
      <c r="S69">
        <v>3</v>
      </c>
      <c r="T69">
        <v>0</v>
      </c>
      <c r="U69" s="1">
        <v>0</v>
      </c>
      <c r="V69">
        <v>164</v>
      </c>
    </row>
    <row r="70" spans="1:22" ht="15">
      <c r="A70" s="4">
        <v>63</v>
      </c>
      <c r="B70">
        <v>1354</v>
      </c>
      <c r="C70" t="s">
        <v>207</v>
      </c>
      <c r="D70" t="s">
        <v>208</v>
      </c>
      <c r="E70" t="s">
        <v>99</v>
      </c>
      <c r="F70" t="s">
        <v>209</v>
      </c>
      <c r="G70" t="str">
        <f>"00484522"</f>
        <v>00484522</v>
      </c>
      <c r="H70">
        <v>72</v>
      </c>
      <c r="I70">
        <v>10</v>
      </c>
      <c r="M70">
        <v>0</v>
      </c>
      <c r="N70">
        <v>0</v>
      </c>
      <c r="O70">
        <v>2</v>
      </c>
      <c r="P70">
        <v>84</v>
      </c>
      <c r="Q70">
        <v>77</v>
      </c>
      <c r="R70">
        <v>77</v>
      </c>
      <c r="S70">
        <v>3</v>
      </c>
      <c r="T70">
        <v>0</v>
      </c>
      <c r="U70" s="1">
        <v>0</v>
      </c>
      <c r="V70">
        <v>164</v>
      </c>
    </row>
    <row r="71" spans="1:22" ht="15">
      <c r="A71" s="4">
        <v>64</v>
      </c>
      <c r="B71">
        <v>230</v>
      </c>
      <c r="C71" t="s">
        <v>210</v>
      </c>
      <c r="D71" t="s">
        <v>211</v>
      </c>
      <c r="E71" t="s">
        <v>157</v>
      </c>
      <c r="F71" t="s">
        <v>212</v>
      </c>
      <c r="G71" t="str">
        <f>"00163261"</f>
        <v>00163261</v>
      </c>
      <c r="H71">
        <v>64.8</v>
      </c>
      <c r="I71">
        <v>10</v>
      </c>
      <c r="J71">
        <v>8</v>
      </c>
      <c r="M71">
        <v>4</v>
      </c>
      <c r="N71">
        <v>8</v>
      </c>
      <c r="O71">
        <v>0</v>
      </c>
      <c r="P71">
        <v>86.8</v>
      </c>
      <c r="Q71">
        <v>77</v>
      </c>
      <c r="R71">
        <v>77</v>
      </c>
      <c r="S71">
        <v>0</v>
      </c>
      <c r="T71">
        <v>0</v>
      </c>
      <c r="U71" s="1" t="s">
        <v>6251</v>
      </c>
      <c r="V71">
        <v>163.8</v>
      </c>
    </row>
    <row r="72" spans="1:22" ht="15">
      <c r="A72" s="4">
        <v>65</v>
      </c>
      <c r="B72">
        <v>191</v>
      </c>
      <c r="C72" t="s">
        <v>213</v>
      </c>
      <c r="D72" t="s">
        <v>214</v>
      </c>
      <c r="E72" t="s">
        <v>51</v>
      </c>
      <c r="F72" t="s">
        <v>215</v>
      </c>
      <c r="G72" t="str">
        <f>"00506697"</f>
        <v>00506697</v>
      </c>
      <c r="H72">
        <v>57.6</v>
      </c>
      <c r="I72">
        <v>0</v>
      </c>
      <c r="L72">
        <v>4</v>
      </c>
      <c r="M72">
        <v>4</v>
      </c>
      <c r="N72">
        <v>4</v>
      </c>
      <c r="O72">
        <v>0</v>
      </c>
      <c r="P72">
        <v>65.6</v>
      </c>
      <c r="Q72">
        <v>92</v>
      </c>
      <c r="R72">
        <v>92</v>
      </c>
      <c r="S72">
        <v>6</v>
      </c>
      <c r="T72">
        <v>0</v>
      </c>
      <c r="U72" s="1">
        <v>0</v>
      </c>
      <c r="V72">
        <v>163.6</v>
      </c>
    </row>
    <row r="73" spans="1:22" ht="15">
      <c r="A73" s="4">
        <v>66</v>
      </c>
      <c r="B73">
        <v>2659</v>
      </c>
      <c r="C73" t="s">
        <v>216</v>
      </c>
      <c r="D73" t="s">
        <v>29</v>
      </c>
      <c r="E73" t="s">
        <v>197</v>
      </c>
      <c r="F73" t="s">
        <v>217</v>
      </c>
      <c r="G73" t="str">
        <f>"00153415"</f>
        <v>00153415</v>
      </c>
      <c r="H73">
        <v>23.48</v>
      </c>
      <c r="I73">
        <v>0</v>
      </c>
      <c r="J73">
        <v>8</v>
      </c>
      <c r="M73">
        <v>4</v>
      </c>
      <c r="N73">
        <v>8</v>
      </c>
      <c r="O73">
        <v>2</v>
      </c>
      <c r="P73">
        <v>37.48</v>
      </c>
      <c r="Q73">
        <v>120</v>
      </c>
      <c r="R73">
        <v>120</v>
      </c>
      <c r="S73">
        <v>6</v>
      </c>
      <c r="T73">
        <v>0</v>
      </c>
      <c r="U73" s="1">
        <v>0</v>
      </c>
      <c r="V73">
        <v>163.48</v>
      </c>
    </row>
    <row r="74" spans="1:22" ht="15">
      <c r="A74" s="4">
        <v>67</v>
      </c>
      <c r="B74">
        <v>1166</v>
      </c>
      <c r="C74" t="s">
        <v>218</v>
      </c>
      <c r="D74" t="s">
        <v>219</v>
      </c>
      <c r="E74" t="s">
        <v>51</v>
      </c>
      <c r="F74" t="s">
        <v>220</v>
      </c>
      <c r="G74" t="str">
        <f>"00530729"</f>
        <v>00530729</v>
      </c>
      <c r="H74">
        <v>43.2</v>
      </c>
      <c r="I74">
        <v>0</v>
      </c>
      <c r="M74">
        <v>0</v>
      </c>
      <c r="N74">
        <v>0</v>
      </c>
      <c r="O74">
        <v>0</v>
      </c>
      <c r="P74">
        <v>43.2</v>
      </c>
      <c r="Q74">
        <v>114</v>
      </c>
      <c r="R74">
        <v>114</v>
      </c>
      <c r="S74">
        <v>6</v>
      </c>
      <c r="T74">
        <v>0</v>
      </c>
      <c r="U74" s="1">
        <v>0</v>
      </c>
      <c r="V74">
        <v>163.2</v>
      </c>
    </row>
    <row r="75" spans="1:22" ht="15">
      <c r="A75" s="4">
        <v>68</v>
      </c>
      <c r="B75">
        <v>917</v>
      </c>
      <c r="C75" t="s">
        <v>221</v>
      </c>
      <c r="D75" t="s">
        <v>222</v>
      </c>
      <c r="E75" t="s">
        <v>19</v>
      </c>
      <c r="F75" t="s">
        <v>223</v>
      </c>
      <c r="G75" t="str">
        <f>"00531390"</f>
        <v>00531390</v>
      </c>
      <c r="H75">
        <v>34.84</v>
      </c>
      <c r="I75">
        <v>0</v>
      </c>
      <c r="K75">
        <v>6</v>
      </c>
      <c r="M75">
        <v>4</v>
      </c>
      <c r="N75">
        <v>6</v>
      </c>
      <c r="O75">
        <v>0</v>
      </c>
      <c r="P75">
        <v>44.84</v>
      </c>
      <c r="Q75">
        <v>112</v>
      </c>
      <c r="R75">
        <v>112</v>
      </c>
      <c r="S75">
        <v>6</v>
      </c>
      <c r="T75">
        <v>0</v>
      </c>
      <c r="U75" s="1">
        <v>0</v>
      </c>
      <c r="V75">
        <v>162.84</v>
      </c>
    </row>
    <row r="76" spans="1:22" ht="15">
      <c r="A76" s="4">
        <v>69</v>
      </c>
      <c r="B76">
        <v>1777</v>
      </c>
      <c r="C76" t="s">
        <v>224</v>
      </c>
      <c r="D76" t="s">
        <v>193</v>
      </c>
      <c r="E76" t="s">
        <v>225</v>
      </c>
      <c r="F76" t="s">
        <v>226</v>
      </c>
      <c r="G76" t="str">
        <f>"00477474"</f>
        <v>00477474</v>
      </c>
      <c r="H76">
        <v>28.8</v>
      </c>
      <c r="I76">
        <v>10</v>
      </c>
      <c r="M76">
        <v>4</v>
      </c>
      <c r="N76">
        <v>0</v>
      </c>
      <c r="O76">
        <v>0</v>
      </c>
      <c r="P76">
        <v>42.8</v>
      </c>
      <c r="Q76">
        <v>120</v>
      </c>
      <c r="R76">
        <v>120</v>
      </c>
      <c r="S76">
        <v>0</v>
      </c>
      <c r="T76">
        <v>0</v>
      </c>
      <c r="U76" s="1">
        <v>0</v>
      </c>
      <c r="V76">
        <v>162.8</v>
      </c>
    </row>
    <row r="77" spans="1:22" ht="15">
      <c r="A77" s="4">
        <v>70</v>
      </c>
      <c r="B77">
        <v>1127</v>
      </c>
      <c r="C77" t="s">
        <v>227</v>
      </c>
      <c r="D77" t="s">
        <v>189</v>
      </c>
      <c r="E77" t="s">
        <v>23</v>
      </c>
      <c r="F77" t="s">
        <v>228</v>
      </c>
      <c r="G77" t="str">
        <f>"00498199"</f>
        <v>00498199</v>
      </c>
      <c r="H77">
        <v>43.2</v>
      </c>
      <c r="I77">
        <v>0</v>
      </c>
      <c r="M77">
        <v>0</v>
      </c>
      <c r="N77">
        <v>0</v>
      </c>
      <c r="O77">
        <v>0</v>
      </c>
      <c r="P77">
        <v>43.2</v>
      </c>
      <c r="Q77">
        <v>116</v>
      </c>
      <c r="R77">
        <v>116</v>
      </c>
      <c r="S77">
        <v>3</v>
      </c>
      <c r="T77">
        <v>0</v>
      </c>
      <c r="U77" s="1">
        <v>0</v>
      </c>
      <c r="V77">
        <v>162.2</v>
      </c>
    </row>
    <row r="78" spans="1:22" ht="15">
      <c r="A78" s="4">
        <v>71</v>
      </c>
      <c r="B78">
        <v>2820</v>
      </c>
      <c r="C78" t="s">
        <v>229</v>
      </c>
      <c r="D78" t="s">
        <v>179</v>
      </c>
      <c r="E78" t="s">
        <v>11</v>
      </c>
      <c r="F78" t="s">
        <v>230</v>
      </c>
      <c r="G78" t="str">
        <f>"00508488"</f>
        <v>00508488</v>
      </c>
      <c r="H78">
        <v>29.88</v>
      </c>
      <c r="I78">
        <v>10</v>
      </c>
      <c r="M78">
        <v>4</v>
      </c>
      <c r="N78">
        <v>0</v>
      </c>
      <c r="O78">
        <v>0</v>
      </c>
      <c r="P78">
        <v>43.88</v>
      </c>
      <c r="Q78">
        <v>112</v>
      </c>
      <c r="R78">
        <v>112</v>
      </c>
      <c r="S78">
        <v>6</v>
      </c>
      <c r="T78">
        <v>0</v>
      </c>
      <c r="U78" s="1">
        <v>0</v>
      </c>
      <c r="V78">
        <v>161.88</v>
      </c>
    </row>
    <row r="79" spans="1:22" ht="15">
      <c r="A79" s="4">
        <v>72</v>
      </c>
      <c r="B79">
        <v>2473</v>
      </c>
      <c r="C79" t="s">
        <v>231</v>
      </c>
      <c r="D79" t="s">
        <v>232</v>
      </c>
      <c r="E79" t="s">
        <v>90</v>
      </c>
      <c r="F79" t="s">
        <v>233</v>
      </c>
      <c r="G79" t="str">
        <f>"200712002656"</f>
        <v>200712002656</v>
      </c>
      <c r="H79">
        <v>64.8</v>
      </c>
      <c r="I79">
        <v>10</v>
      </c>
      <c r="M79">
        <v>4</v>
      </c>
      <c r="N79">
        <v>0</v>
      </c>
      <c r="O79">
        <v>0</v>
      </c>
      <c r="P79">
        <v>78.8</v>
      </c>
      <c r="Q79">
        <v>77</v>
      </c>
      <c r="R79">
        <v>77</v>
      </c>
      <c r="S79">
        <v>6</v>
      </c>
      <c r="T79">
        <v>0</v>
      </c>
      <c r="U79" s="1">
        <v>0</v>
      </c>
      <c r="V79">
        <v>161.8</v>
      </c>
    </row>
    <row r="80" spans="1:22" ht="15">
      <c r="A80" s="4">
        <v>73</v>
      </c>
      <c r="B80">
        <v>517</v>
      </c>
      <c r="C80" t="s">
        <v>234</v>
      </c>
      <c r="D80" t="s">
        <v>89</v>
      </c>
      <c r="E80" t="s">
        <v>112</v>
      </c>
      <c r="F80" t="s">
        <v>235</v>
      </c>
      <c r="G80" t="str">
        <f>"00515383"</f>
        <v>00515383</v>
      </c>
      <c r="H80">
        <v>64.8</v>
      </c>
      <c r="I80">
        <v>0</v>
      </c>
      <c r="M80">
        <v>0</v>
      </c>
      <c r="N80">
        <v>0</v>
      </c>
      <c r="O80">
        <v>0</v>
      </c>
      <c r="P80">
        <v>64.8</v>
      </c>
      <c r="Q80">
        <v>94</v>
      </c>
      <c r="R80">
        <v>94</v>
      </c>
      <c r="S80">
        <v>3</v>
      </c>
      <c r="T80">
        <v>0</v>
      </c>
      <c r="U80" s="1">
        <v>0</v>
      </c>
      <c r="V80">
        <v>161.8</v>
      </c>
    </row>
    <row r="81" spans="1:22" ht="15">
      <c r="A81" s="4">
        <v>74</v>
      </c>
      <c r="B81">
        <v>3146</v>
      </c>
      <c r="C81" t="s">
        <v>236</v>
      </c>
      <c r="D81" t="s">
        <v>89</v>
      </c>
      <c r="E81" t="s">
        <v>237</v>
      </c>
      <c r="F81" t="s">
        <v>238</v>
      </c>
      <c r="G81" t="str">
        <f>"00510666"</f>
        <v>00510666</v>
      </c>
      <c r="H81">
        <v>43.2</v>
      </c>
      <c r="I81">
        <v>0</v>
      </c>
      <c r="M81">
        <v>0</v>
      </c>
      <c r="N81">
        <v>0</v>
      </c>
      <c r="O81">
        <v>2</v>
      </c>
      <c r="P81">
        <v>45.2</v>
      </c>
      <c r="Q81">
        <v>113</v>
      </c>
      <c r="R81">
        <v>113</v>
      </c>
      <c r="S81">
        <v>3</v>
      </c>
      <c r="T81">
        <v>0</v>
      </c>
      <c r="U81" s="1">
        <v>0</v>
      </c>
      <c r="V81">
        <v>161.2</v>
      </c>
    </row>
    <row r="82" spans="1:22" ht="15">
      <c r="A82" s="4">
        <v>75</v>
      </c>
      <c r="B82">
        <v>1415</v>
      </c>
      <c r="C82" t="s">
        <v>239</v>
      </c>
      <c r="D82" t="s">
        <v>26</v>
      </c>
      <c r="E82" t="s">
        <v>59</v>
      </c>
      <c r="F82" t="s">
        <v>240</v>
      </c>
      <c r="G82" t="str">
        <f>"00512066"</f>
        <v>00512066</v>
      </c>
      <c r="H82">
        <v>36</v>
      </c>
      <c r="I82">
        <v>0</v>
      </c>
      <c r="L82">
        <v>4</v>
      </c>
      <c r="M82">
        <v>4</v>
      </c>
      <c r="N82">
        <v>4</v>
      </c>
      <c r="O82">
        <v>0</v>
      </c>
      <c r="P82">
        <v>44</v>
      </c>
      <c r="Q82">
        <v>117</v>
      </c>
      <c r="R82">
        <v>117</v>
      </c>
      <c r="S82">
        <v>0</v>
      </c>
      <c r="T82">
        <v>0</v>
      </c>
      <c r="U82" s="1">
        <v>0</v>
      </c>
      <c r="V82">
        <v>161</v>
      </c>
    </row>
    <row r="83" spans="1:22" ht="15">
      <c r="A83" s="4">
        <v>76</v>
      </c>
      <c r="B83">
        <v>2875</v>
      </c>
      <c r="C83" t="s">
        <v>241</v>
      </c>
      <c r="D83" t="s">
        <v>14</v>
      </c>
      <c r="E83" t="s">
        <v>242</v>
      </c>
      <c r="F83" t="s">
        <v>243</v>
      </c>
      <c r="G83" t="str">
        <f>"00513183"</f>
        <v>00513183</v>
      </c>
      <c r="H83">
        <v>28.8</v>
      </c>
      <c r="I83">
        <v>10</v>
      </c>
      <c r="M83">
        <v>4</v>
      </c>
      <c r="N83">
        <v>0</v>
      </c>
      <c r="O83">
        <v>0</v>
      </c>
      <c r="P83">
        <v>42.8</v>
      </c>
      <c r="Q83">
        <v>115</v>
      </c>
      <c r="R83">
        <v>115</v>
      </c>
      <c r="S83">
        <v>3</v>
      </c>
      <c r="T83">
        <v>0</v>
      </c>
      <c r="U83" s="1">
        <v>0</v>
      </c>
      <c r="V83">
        <v>160.8</v>
      </c>
    </row>
    <row r="84" spans="1:22" ht="15">
      <c r="A84" s="4">
        <v>77</v>
      </c>
      <c r="B84">
        <v>1114</v>
      </c>
      <c r="C84" t="s">
        <v>244</v>
      </c>
      <c r="D84" t="s">
        <v>29</v>
      </c>
      <c r="E84" t="s">
        <v>83</v>
      </c>
      <c r="F84" t="s">
        <v>245</v>
      </c>
      <c r="G84" t="str">
        <f>"00196684"</f>
        <v>00196684</v>
      </c>
      <c r="H84">
        <v>50.4</v>
      </c>
      <c r="I84">
        <v>0</v>
      </c>
      <c r="J84">
        <v>8</v>
      </c>
      <c r="M84">
        <v>4</v>
      </c>
      <c r="N84">
        <v>8</v>
      </c>
      <c r="O84">
        <v>2</v>
      </c>
      <c r="P84">
        <v>64.4</v>
      </c>
      <c r="Q84">
        <v>93</v>
      </c>
      <c r="R84">
        <v>93</v>
      </c>
      <c r="S84">
        <v>3</v>
      </c>
      <c r="T84">
        <v>0</v>
      </c>
      <c r="U84" s="1">
        <v>0</v>
      </c>
      <c r="V84">
        <v>160.4</v>
      </c>
    </row>
    <row r="85" spans="1:22" ht="15">
      <c r="A85" s="4">
        <v>78</v>
      </c>
      <c r="B85">
        <v>1848</v>
      </c>
      <c r="C85" t="s">
        <v>246</v>
      </c>
      <c r="D85" t="s">
        <v>222</v>
      </c>
      <c r="E85" t="s">
        <v>15</v>
      </c>
      <c r="F85" t="s">
        <v>247</v>
      </c>
      <c r="G85" t="str">
        <f>"00514912"</f>
        <v>00514912</v>
      </c>
      <c r="H85">
        <v>29.32</v>
      </c>
      <c r="I85">
        <v>10</v>
      </c>
      <c r="L85">
        <v>4</v>
      </c>
      <c r="M85">
        <v>4</v>
      </c>
      <c r="N85">
        <v>4</v>
      </c>
      <c r="O85">
        <v>0</v>
      </c>
      <c r="P85">
        <v>47.32</v>
      </c>
      <c r="Q85">
        <v>107</v>
      </c>
      <c r="R85">
        <v>107</v>
      </c>
      <c r="S85">
        <v>6</v>
      </c>
      <c r="T85">
        <v>0</v>
      </c>
      <c r="U85" s="1">
        <v>0</v>
      </c>
      <c r="V85">
        <v>160.32</v>
      </c>
    </row>
    <row r="86" spans="1:22" ht="15">
      <c r="A86" s="4">
        <v>79</v>
      </c>
      <c r="B86">
        <v>839</v>
      </c>
      <c r="C86" t="s">
        <v>248</v>
      </c>
      <c r="D86" t="s">
        <v>76</v>
      </c>
      <c r="E86" t="s">
        <v>23</v>
      </c>
      <c r="F86" t="s">
        <v>249</v>
      </c>
      <c r="G86" t="str">
        <f>"00441915"</f>
        <v>00441915</v>
      </c>
      <c r="H86">
        <v>43.2</v>
      </c>
      <c r="I86">
        <v>10</v>
      </c>
      <c r="M86">
        <v>4</v>
      </c>
      <c r="N86">
        <v>0</v>
      </c>
      <c r="O86">
        <v>0</v>
      </c>
      <c r="P86">
        <v>57.2</v>
      </c>
      <c r="Q86">
        <v>60</v>
      </c>
      <c r="R86">
        <v>60</v>
      </c>
      <c r="S86">
        <v>3</v>
      </c>
      <c r="T86">
        <v>40</v>
      </c>
      <c r="U86" s="1">
        <v>0</v>
      </c>
      <c r="V86">
        <v>160.2</v>
      </c>
    </row>
    <row r="87" spans="1:22" ht="15">
      <c r="A87" s="4">
        <v>80</v>
      </c>
      <c r="B87">
        <v>2638</v>
      </c>
      <c r="C87" t="s">
        <v>250</v>
      </c>
      <c r="D87" t="s">
        <v>55</v>
      </c>
      <c r="E87" t="s">
        <v>251</v>
      </c>
      <c r="F87" t="s">
        <v>252</v>
      </c>
      <c r="G87" t="str">
        <f>"00162737"</f>
        <v>00162737</v>
      </c>
      <c r="H87">
        <v>72</v>
      </c>
      <c r="I87">
        <v>0</v>
      </c>
      <c r="M87">
        <v>4</v>
      </c>
      <c r="N87">
        <v>0</v>
      </c>
      <c r="O87">
        <v>0</v>
      </c>
      <c r="P87">
        <v>76</v>
      </c>
      <c r="Q87">
        <v>78</v>
      </c>
      <c r="R87">
        <v>78</v>
      </c>
      <c r="S87">
        <v>6</v>
      </c>
      <c r="T87">
        <v>0</v>
      </c>
      <c r="U87" s="1">
        <v>0</v>
      </c>
      <c r="V87">
        <v>160</v>
      </c>
    </row>
    <row r="88" spans="1:22" ht="15">
      <c r="A88" s="4">
        <v>81</v>
      </c>
      <c r="B88">
        <v>877</v>
      </c>
      <c r="C88" t="s">
        <v>253</v>
      </c>
      <c r="D88" t="s">
        <v>89</v>
      </c>
      <c r="E88" t="s">
        <v>11</v>
      </c>
      <c r="F88" t="s">
        <v>254</v>
      </c>
      <c r="G88" t="str">
        <f>"00522515"</f>
        <v>00522515</v>
      </c>
      <c r="H88">
        <v>32.88</v>
      </c>
      <c r="I88">
        <v>0</v>
      </c>
      <c r="L88">
        <v>4</v>
      </c>
      <c r="M88">
        <v>4</v>
      </c>
      <c r="N88">
        <v>4</v>
      </c>
      <c r="O88">
        <v>0</v>
      </c>
      <c r="P88">
        <v>40.88</v>
      </c>
      <c r="Q88">
        <v>113</v>
      </c>
      <c r="R88">
        <v>113</v>
      </c>
      <c r="S88">
        <v>6</v>
      </c>
      <c r="T88">
        <v>0</v>
      </c>
      <c r="U88" s="1">
        <v>0</v>
      </c>
      <c r="V88">
        <v>159.88</v>
      </c>
    </row>
    <row r="89" spans="1:22" ht="15">
      <c r="A89" s="4">
        <v>82</v>
      </c>
      <c r="B89">
        <v>1516</v>
      </c>
      <c r="C89" t="s">
        <v>255</v>
      </c>
      <c r="D89" t="s">
        <v>256</v>
      </c>
      <c r="E89" t="s">
        <v>19</v>
      </c>
      <c r="F89" t="s">
        <v>257</v>
      </c>
      <c r="G89" t="str">
        <f>"00510950"</f>
        <v>00510950</v>
      </c>
      <c r="H89">
        <v>64.8</v>
      </c>
      <c r="I89">
        <v>0</v>
      </c>
      <c r="J89">
        <v>8</v>
      </c>
      <c r="M89">
        <v>0</v>
      </c>
      <c r="N89">
        <v>8</v>
      </c>
      <c r="O89">
        <v>2</v>
      </c>
      <c r="P89">
        <v>74.8</v>
      </c>
      <c r="Q89">
        <v>79</v>
      </c>
      <c r="R89">
        <v>79</v>
      </c>
      <c r="S89">
        <v>6</v>
      </c>
      <c r="T89">
        <v>0</v>
      </c>
      <c r="U89" s="1">
        <v>0</v>
      </c>
      <c r="V89">
        <v>159.8</v>
      </c>
    </row>
    <row r="90" spans="1:22" ht="15">
      <c r="A90" s="4">
        <v>83</v>
      </c>
      <c r="B90">
        <v>1297</v>
      </c>
      <c r="C90" t="s">
        <v>258</v>
      </c>
      <c r="D90" t="s">
        <v>259</v>
      </c>
      <c r="E90" t="s">
        <v>260</v>
      </c>
      <c r="F90" t="s">
        <v>261</v>
      </c>
      <c r="G90" t="str">
        <f>"00511159"</f>
        <v>00511159</v>
      </c>
      <c r="H90">
        <v>64.8</v>
      </c>
      <c r="I90">
        <v>0</v>
      </c>
      <c r="L90">
        <v>4</v>
      </c>
      <c r="M90">
        <v>4</v>
      </c>
      <c r="N90">
        <v>4</v>
      </c>
      <c r="O90">
        <v>2</v>
      </c>
      <c r="P90">
        <v>74.8</v>
      </c>
      <c r="Q90">
        <v>79</v>
      </c>
      <c r="R90">
        <v>79</v>
      </c>
      <c r="S90">
        <v>6</v>
      </c>
      <c r="T90">
        <v>0</v>
      </c>
      <c r="U90" s="1" t="s">
        <v>6251</v>
      </c>
      <c r="V90">
        <v>159.8</v>
      </c>
    </row>
    <row r="91" spans="1:22" ht="15">
      <c r="A91" s="4">
        <v>84</v>
      </c>
      <c r="B91">
        <v>3243</v>
      </c>
      <c r="C91" t="s">
        <v>262</v>
      </c>
      <c r="D91" t="s">
        <v>14</v>
      </c>
      <c r="E91" t="s">
        <v>263</v>
      </c>
      <c r="F91" t="s">
        <v>264</v>
      </c>
      <c r="G91" t="str">
        <f>"00152105"</f>
        <v>00152105</v>
      </c>
      <c r="H91">
        <v>36</v>
      </c>
      <c r="I91">
        <v>0</v>
      </c>
      <c r="L91">
        <v>4</v>
      </c>
      <c r="M91">
        <v>4</v>
      </c>
      <c r="N91">
        <v>4</v>
      </c>
      <c r="O91">
        <v>0</v>
      </c>
      <c r="P91">
        <v>44</v>
      </c>
      <c r="Q91">
        <v>115</v>
      </c>
      <c r="R91">
        <v>115</v>
      </c>
      <c r="S91">
        <v>0</v>
      </c>
      <c r="T91">
        <v>0</v>
      </c>
      <c r="U91" s="1">
        <v>0</v>
      </c>
      <c r="V91">
        <v>159</v>
      </c>
    </row>
    <row r="92" spans="1:22" ht="15">
      <c r="A92" s="4">
        <v>85</v>
      </c>
      <c r="B92">
        <v>1551</v>
      </c>
      <c r="C92" t="s">
        <v>265</v>
      </c>
      <c r="D92" t="s">
        <v>266</v>
      </c>
      <c r="E92" t="s">
        <v>267</v>
      </c>
      <c r="F92" t="s">
        <v>268</v>
      </c>
      <c r="G92" t="str">
        <f>"00442297"</f>
        <v>00442297</v>
      </c>
      <c r="H92">
        <v>36</v>
      </c>
      <c r="I92">
        <v>10</v>
      </c>
      <c r="L92">
        <v>4</v>
      </c>
      <c r="M92">
        <v>0</v>
      </c>
      <c r="N92">
        <v>4</v>
      </c>
      <c r="O92">
        <v>0</v>
      </c>
      <c r="P92">
        <v>50</v>
      </c>
      <c r="Q92">
        <v>106</v>
      </c>
      <c r="R92">
        <v>106</v>
      </c>
      <c r="S92">
        <v>3</v>
      </c>
      <c r="T92">
        <v>0</v>
      </c>
      <c r="U92" s="1">
        <v>0</v>
      </c>
      <c r="V92">
        <v>159</v>
      </c>
    </row>
    <row r="93" spans="1:22" ht="15">
      <c r="A93" s="4">
        <v>86</v>
      </c>
      <c r="B93">
        <v>1580</v>
      </c>
      <c r="C93" t="s">
        <v>269</v>
      </c>
      <c r="D93" t="s">
        <v>14</v>
      </c>
      <c r="E93" t="s">
        <v>270</v>
      </c>
      <c r="F93" t="s">
        <v>271</v>
      </c>
      <c r="G93" t="str">
        <f>"00509884"</f>
        <v>00509884</v>
      </c>
      <c r="H93">
        <v>64.8</v>
      </c>
      <c r="I93">
        <v>0</v>
      </c>
      <c r="M93">
        <v>0</v>
      </c>
      <c r="N93">
        <v>0</v>
      </c>
      <c r="O93">
        <v>0</v>
      </c>
      <c r="P93">
        <v>64.8</v>
      </c>
      <c r="Q93">
        <v>88</v>
      </c>
      <c r="R93">
        <v>88</v>
      </c>
      <c r="S93">
        <v>6</v>
      </c>
      <c r="T93">
        <v>0</v>
      </c>
      <c r="U93" s="1">
        <v>0</v>
      </c>
      <c r="V93">
        <v>158.8</v>
      </c>
    </row>
    <row r="94" spans="1:22" ht="15">
      <c r="A94" s="4">
        <v>87</v>
      </c>
      <c r="B94">
        <v>2912</v>
      </c>
      <c r="C94" t="s">
        <v>272</v>
      </c>
      <c r="D94" t="s">
        <v>273</v>
      </c>
      <c r="E94" t="s">
        <v>59</v>
      </c>
      <c r="F94" t="s">
        <v>274</v>
      </c>
      <c r="G94" t="str">
        <f>"00147320"</f>
        <v>00147320</v>
      </c>
      <c r="H94">
        <v>28.8</v>
      </c>
      <c r="I94">
        <v>0</v>
      </c>
      <c r="J94">
        <v>8</v>
      </c>
      <c r="M94">
        <v>4</v>
      </c>
      <c r="N94">
        <v>8</v>
      </c>
      <c r="O94">
        <v>0</v>
      </c>
      <c r="P94">
        <v>40.8</v>
      </c>
      <c r="Q94">
        <v>112</v>
      </c>
      <c r="R94">
        <v>112</v>
      </c>
      <c r="S94">
        <v>6</v>
      </c>
      <c r="T94">
        <v>0</v>
      </c>
      <c r="U94" s="1">
        <v>0</v>
      </c>
      <c r="V94">
        <v>158.8</v>
      </c>
    </row>
    <row r="95" spans="1:22" ht="15">
      <c r="A95" s="4">
        <v>88</v>
      </c>
      <c r="B95">
        <v>585</v>
      </c>
      <c r="C95" t="s">
        <v>275</v>
      </c>
      <c r="D95" t="s">
        <v>76</v>
      </c>
      <c r="E95" t="s">
        <v>30</v>
      </c>
      <c r="F95" t="s">
        <v>276</v>
      </c>
      <c r="G95" t="str">
        <f>"00480190"</f>
        <v>00480190</v>
      </c>
      <c r="H95">
        <v>28.8</v>
      </c>
      <c r="I95">
        <v>10</v>
      </c>
      <c r="M95">
        <v>0</v>
      </c>
      <c r="N95">
        <v>0</v>
      </c>
      <c r="O95">
        <v>0</v>
      </c>
      <c r="P95">
        <v>38.8</v>
      </c>
      <c r="Q95">
        <v>113</v>
      </c>
      <c r="R95">
        <v>113</v>
      </c>
      <c r="S95">
        <v>6</v>
      </c>
      <c r="T95">
        <v>0</v>
      </c>
      <c r="U95" s="1">
        <v>0</v>
      </c>
      <c r="V95">
        <v>157.8</v>
      </c>
    </row>
    <row r="96" spans="1:22" ht="15">
      <c r="A96" s="4">
        <v>89</v>
      </c>
      <c r="B96">
        <v>800</v>
      </c>
      <c r="C96" t="s">
        <v>277</v>
      </c>
      <c r="D96" t="s">
        <v>124</v>
      </c>
      <c r="E96" t="s">
        <v>19</v>
      </c>
      <c r="F96" t="s">
        <v>278</v>
      </c>
      <c r="G96" t="str">
        <f>"00531806"</f>
        <v>00531806</v>
      </c>
      <c r="H96">
        <v>64.8</v>
      </c>
      <c r="I96">
        <v>0</v>
      </c>
      <c r="M96">
        <v>0</v>
      </c>
      <c r="N96">
        <v>0</v>
      </c>
      <c r="O96">
        <v>2</v>
      </c>
      <c r="P96">
        <v>66.8</v>
      </c>
      <c r="Q96">
        <v>88</v>
      </c>
      <c r="R96">
        <v>88</v>
      </c>
      <c r="S96">
        <v>3</v>
      </c>
      <c r="T96">
        <v>0</v>
      </c>
      <c r="U96" s="1">
        <v>0</v>
      </c>
      <c r="V96">
        <v>157.8</v>
      </c>
    </row>
    <row r="97" spans="1:22" ht="15">
      <c r="A97" s="4">
        <v>90</v>
      </c>
      <c r="B97">
        <v>698</v>
      </c>
      <c r="C97" t="s">
        <v>279</v>
      </c>
      <c r="D97" t="s">
        <v>280</v>
      </c>
      <c r="E97" t="s">
        <v>73</v>
      </c>
      <c r="F97" t="s">
        <v>281</v>
      </c>
      <c r="G97" t="str">
        <f>"00509534"</f>
        <v>00509534</v>
      </c>
      <c r="H97">
        <v>39.56</v>
      </c>
      <c r="I97">
        <v>0</v>
      </c>
      <c r="M97">
        <v>0</v>
      </c>
      <c r="N97">
        <v>0</v>
      </c>
      <c r="O97">
        <v>0</v>
      </c>
      <c r="P97">
        <v>39.56</v>
      </c>
      <c r="Q97">
        <v>114</v>
      </c>
      <c r="R97">
        <v>114</v>
      </c>
      <c r="S97">
        <v>3</v>
      </c>
      <c r="T97">
        <v>0</v>
      </c>
      <c r="U97" s="1">
        <v>0</v>
      </c>
      <c r="V97">
        <v>156.56</v>
      </c>
    </row>
    <row r="98" spans="1:22" ht="15">
      <c r="A98" s="4">
        <v>91</v>
      </c>
      <c r="B98">
        <v>3129</v>
      </c>
      <c r="C98" t="s">
        <v>282</v>
      </c>
      <c r="D98" t="s">
        <v>283</v>
      </c>
      <c r="E98" t="s">
        <v>284</v>
      </c>
      <c r="F98" t="s">
        <v>285</v>
      </c>
      <c r="G98" t="str">
        <f>"00301641"</f>
        <v>00301641</v>
      </c>
      <c r="H98">
        <v>32.44</v>
      </c>
      <c r="I98">
        <v>0</v>
      </c>
      <c r="M98">
        <v>4</v>
      </c>
      <c r="N98">
        <v>0</v>
      </c>
      <c r="O98">
        <v>2</v>
      </c>
      <c r="P98">
        <v>38.44</v>
      </c>
      <c r="Q98">
        <v>115</v>
      </c>
      <c r="R98">
        <v>115</v>
      </c>
      <c r="S98">
        <v>3</v>
      </c>
      <c r="T98">
        <v>0</v>
      </c>
      <c r="U98" s="1">
        <v>0</v>
      </c>
      <c r="V98">
        <v>156.44</v>
      </c>
    </row>
    <row r="99" spans="1:22" ht="15">
      <c r="A99" s="4">
        <v>92</v>
      </c>
      <c r="B99">
        <v>1199</v>
      </c>
      <c r="C99" t="s">
        <v>286</v>
      </c>
      <c r="D99" t="s">
        <v>287</v>
      </c>
      <c r="E99" t="s">
        <v>15</v>
      </c>
      <c r="F99" t="s">
        <v>288</v>
      </c>
      <c r="G99" t="str">
        <f>"00529970"</f>
        <v>00529970</v>
      </c>
      <c r="H99">
        <v>57.6</v>
      </c>
      <c r="I99">
        <v>0</v>
      </c>
      <c r="M99">
        <v>0</v>
      </c>
      <c r="N99">
        <v>0</v>
      </c>
      <c r="O99">
        <v>0</v>
      </c>
      <c r="P99">
        <v>57.6</v>
      </c>
      <c r="Q99">
        <v>60</v>
      </c>
      <c r="R99">
        <v>60</v>
      </c>
      <c r="S99">
        <v>6</v>
      </c>
      <c r="T99">
        <v>32.4</v>
      </c>
      <c r="U99" s="1">
        <v>0</v>
      </c>
      <c r="V99">
        <v>156</v>
      </c>
    </row>
    <row r="100" spans="1:22" ht="15">
      <c r="A100" s="4">
        <v>93</v>
      </c>
      <c r="B100">
        <v>2639</v>
      </c>
      <c r="C100" t="s">
        <v>289</v>
      </c>
      <c r="D100" t="s">
        <v>89</v>
      </c>
      <c r="E100" t="s">
        <v>55</v>
      </c>
      <c r="F100" t="s">
        <v>290</v>
      </c>
      <c r="G100" t="str">
        <f>"00512935"</f>
        <v>00512935</v>
      </c>
      <c r="H100">
        <v>38.68</v>
      </c>
      <c r="I100">
        <v>0</v>
      </c>
      <c r="M100">
        <v>4</v>
      </c>
      <c r="N100">
        <v>0</v>
      </c>
      <c r="O100">
        <v>0</v>
      </c>
      <c r="P100">
        <v>42.68</v>
      </c>
      <c r="Q100">
        <v>113</v>
      </c>
      <c r="R100">
        <v>113</v>
      </c>
      <c r="S100">
        <v>0</v>
      </c>
      <c r="T100">
        <v>0</v>
      </c>
      <c r="U100" s="1">
        <v>0</v>
      </c>
      <c r="V100">
        <v>155.68</v>
      </c>
    </row>
    <row r="101" spans="1:22" ht="15">
      <c r="A101" s="4">
        <v>94</v>
      </c>
      <c r="B101">
        <v>782</v>
      </c>
      <c r="C101" t="s">
        <v>291</v>
      </c>
      <c r="D101" t="s">
        <v>292</v>
      </c>
      <c r="E101" t="s">
        <v>197</v>
      </c>
      <c r="F101" t="s">
        <v>293</v>
      </c>
      <c r="G101" t="str">
        <f>"00530511"</f>
        <v>00530511</v>
      </c>
      <c r="H101">
        <v>57.6</v>
      </c>
      <c r="I101">
        <v>10</v>
      </c>
      <c r="L101">
        <v>4</v>
      </c>
      <c r="M101">
        <v>4</v>
      </c>
      <c r="N101">
        <v>4</v>
      </c>
      <c r="O101">
        <v>2</v>
      </c>
      <c r="P101">
        <v>77.6</v>
      </c>
      <c r="Q101">
        <v>78</v>
      </c>
      <c r="R101">
        <v>78</v>
      </c>
      <c r="S101">
        <v>0</v>
      </c>
      <c r="T101">
        <v>0</v>
      </c>
      <c r="U101" s="1">
        <v>0</v>
      </c>
      <c r="V101">
        <v>155.6</v>
      </c>
    </row>
    <row r="102" spans="1:22" ht="15">
      <c r="A102" s="4">
        <v>95</v>
      </c>
      <c r="B102">
        <v>1368</v>
      </c>
      <c r="C102" t="s">
        <v>294</v>
      </c>
      <c r="D102" t="s">
        <v>76</v>
      </c>
      <c r="E102" t="s">
        <v>295</v>
      </c>
      <c r="F102" t="s">
        <v>296</v>
      </c>
      <c r="G102" t="str">
        <f>"00441895"</f>
        <v>00441895</v>
      </c>
      <c r="H102">
        <v>50.4</v>
      </c>
      <c r="I102">
        <v>10</v>
      </c>
      <c r="M102">
        <v>4</v>
      </c>
      <c r="N102">
        <v>0</v>
      </c>
      <c r="O102">
        <v>0</v>
      </c>
      <c r="P102">
        <v>64.4</v>
      </c>
      <c r="Q102">
        <v>85</v>
      </c>
      <c r="R102">
        <v>85</v>
      </c>
      <c r="S102">
        <v>6</v>
      </c>
      <c r="T102">
        <v>0</v>
      </c>
      <c r="U102" s="1">
        <v>0</v>
      </c>
      <c r="V102">
        <v>155.4</v>
      </c>
    </row>
    <row r="103" spans="1:22" ht="15">
      <c r="A103" s="4">
        <v>96</v>
      </c>
      <c r="B103">
        <v>2120</v>
      </c>
      <c r="C103" t="s">
        <v>297</v>
      </c>
      <c r="D103" t="s">
        <v>298</v>
      </c>
      <c r="E103" t="s">
        <v>23</v>
      </c>
      <c r="F103" t="s">
        <v>299</v>
      </c>
      <c r="G103" t="str">
        <f>"00532776"</f>
        <v>00532776</v>
      </c>
      <c r="H103">
        <v>36</v>
      </c>
      <c r="I103">
        <v>0</v>
      </c>
      <c r="J103">
        <v>8</v>
      </c>
      <c r="M103">
        <v>4</v>
      </c>
      <c r="N103">
        <v>8</v>
      </c>
      <c r="O103">
        <v>0</v>
      </c>
      <c r="P103">
        <v>48</v>
      </c>
      <c r="Q103">
        <v>101</v>
      </c>
      <c r="R103">
        <v>101</v>
      </c>
      <c r="S103">
        <v>6</v>
      </c>
      <c r="T103">
        <v>0</v>
      </c>
      <c r="U103" s="1">
        <v>0</v>
      </c>
      <c r="V103">
        <v>155</v>
      </c>
    </row>
    <row r="104" spans="1:22" ht="15">
      <c r="A104" s="4">
        <v>97</v>
      </c>
      <c r="B104">
        <v>249</v>
      </c>
      <c r="C104" t="s">
        <v>300</v>
      </c>
      <c r="D104" t="s">
        <v>280</v>
      </c>
      <c r="E104" t="s">
        <v>90</v>
      </c>
      <c r="F104" t="s">
        <v>301</v>
      </c>
      <c r="G104" t="str">
        <f>"00480639"</f>
        <v>00480639</v>
      </c>
      <c r="H104">
        <v>28.8</v>
      </c>
      <c r="I104">
        <v>10</v>
      </c>
      <c r="M104">
        <v>4</v>
      </c>
      <c r="N104">
        <v>0</v>
      </c>
      <c r="O104">
        <v>2</v>
      </c>
      <c r="P104">
        <v>44.8</v>
      </c>
      <c r="Q104">
        <v>110</v>
      </c>
      <c r="R104">
        <v>110</v>
      </c>
      <c r="S104">
        <v>0</v>
      </c>
      <c r="T104">
        <v>0</v>
      </c>
      <c r="U104" s="1">
        <v>0</v>
      </c>
      <c r="V104">
        <v>154.8</v>
      </c>
    </row>
    <row r="105" spans="1:22" ht="15">
      <c r="A105" s="4">
        <v>98</v>
      </c>
      <c r="B105">
        <v>1125</v>
      </c>
      <c r="C105" t="s">
        <v>302</v>
      </c>
      <c r="D105" t="s">
        <v>89</v>
      </c>
      <c r="E105" t="s">
        <v>90</v>
      </c>
      <c r="F105" t="s">
        <v>303</v>
      </c>
      <c r="G105" t="str">
        <f>"00486945"</f>
        <v>00486945</v>
      </c>
      <c r="H105">
        <v>21.6</v>
      </c>
      <c r="I105">
        <v>10</v>
      </c>
      <c r="L105">
        <v>4</v>
      </c>
      <c r="M105">
        <v>4</v>
      </c>
      <c r="N105">
        <v>4</v>
      </c>
      <c r="O105">
        <v>0</v>
      </c>
      <c r="P105">
        <v>39.6</v>
      </c>
      <c r="Q105">
        <v>112</v>
      </c>
      <c r="R105">
        <v>112</v>
      </c>
      <c r="S105">
        <v>3</v>
      </c>
      <c r="T105">
        <v>0</v>
      </c>
      <c r="U105" s="1">
        <v>0</v>
      </c>
      <c r="V105">
        <v>154.6</v>
      </c>
    </row>
    <row r="106" spans="1:22" ht="15">
      <c r="A106" s="4">
        <v>99</v>
      </c>
      <c r="B106">
        <v>3410</v>
      </c>
      <c r="C106" t="s">
        <v>304</v>
      </c>
      <c r="D106" t="s">
        <v>76</v>
      </c>
      <c r="E106" t="s">
        <v>23</v>
      </c>
      <c r="F106" t="s">
        <v>305</v>
      </c>
      <c r="G106" t="str">
        <f>"00531968"</f>
        <v>00531968</v>
      </c>
      <c r="H106">
        <v>57.6</v>
      </c>
      <c r="I106">
        <v>0</v>
      </c>
      <c r="L106">
        <v>4</v>
      </c>
      <c r="M106">
        <v>4</v>
      </c>
      <c r="N106">
        <v>4</v>
      </c>
      <c r="O106">
        <v>0</v>
      </c>
      <c r="P106">
        <v>65.6</v>
      </c>
      <c r="Q106">
        <v>86</v>
      </c>
      <c r="R106">
        <v>86</v>
      </c>
      <c r="S106">
        <v>3</v>
      </c>
      <c r="T106">
        <v>0</v>
      </c>
      <c r="U106" s="1">
        <v>0</v>
      </c>
      <c r="V106">
        <v>154.6</v>
      </c>
    </row>
    <row r="107" spans="1:22" ht="15">
      <c r="A107" s="4">
        <v>100</v>
      </c>
      <c r="B107">
        <v>320</v>
      </c>
      <c r="C107" t="s">
        <v>306</v>
      </c>
      <c r="D107" t="s">
        <v>89</v>
      </c>
      <c r="E107" t="s">
        <v>307</v>
      </c>
      <c r="F107" t="s">
        <v>308</v>
      </c>
      <c r="G107" t="str">
        <f>"00531193"</f>
        <v>00531193</v>
      </c>
      <c r="H107">
        <v>50.4</v>
      </c>
      <c r="I107">
        <v>10</v>
      </c>
      <c r="L107">
        <v>4</v>
      </c>
      <c r="M107">
        <v>4</v>
      </c>
      <c r="N107">
        <v>4</v>
      </c>
      <c r="O107">
        <v>0</v>
      </c>
      <c r="P107">
        <v>68.4</v>
      </c>
      <c r="Q107">
        <v>86</v>
      </c>
      <c r="R107">
        <v>86</v>
      </c>
      <c r="S107">
        <v>0</v>
      </c>
      <c r="T107">
        <v>0</v>
      </c>
      <c r="U107" s="1">
        <v>0</v>
      </c>
      <c r="V107">
        <v>154.4</v>
      </c>
    </row>
    <row r="108" spans="1:22" ht="15">
      <c r="A108" s="4">
        <v>101</v>
      </c>
      <c r="B108">
        <v>1196</v>
      </c>
      <c r="C108" t="s">
        <v>309</v>
      </c>
      <c r="D108" t="s">
        <v>232</v>
      </c>
      <c r="E108" t="s">
        <v>11</v>
      </c>
      <c r="F108" t="s">
        <v>310</v>
      </c>
      <c r="G108" t="str">
        <f>"00527254"</f>
        <v>00527254</v>
      </c>
      <c r="H108">
        <v>14.4</v>
      </c>
      <c r="I108">
        <v>0</v>
      </c>
      <c r="L108">
        <v>4</v>
      </c>
      <c r="M108">
        <v>4</v>
      </c>
      <c r="N108">
        <v>4</v>
      </c>
      <c r="O108">
        <v>0</v>
      </c>
      <c r="P108">
        <v>22.4</v>
      </c>
      <c r="Q108">
        <v>106</v>
      </c>
      <c r="R108">
        <v>106</v>
      </c>
      <c r="S108">
        <v>6</v>
      </c>
      <c r="T108">
        <v>20</v>
      </c>
      <c r="U108" s="1">
        <v>0</v>
      </c>
      <c r="V108">
        <v>154.4</v>
      </c>
    </row>
    <row r="109" spans="1:22" ht="15">
      <c r="A109" s="4">
        <v>102</v>
      </c>
      <c r="B109">
        <v>3167</v>
      </c>
      <c r="C109" t="s">
        <v>311</v>
      </c>
      <c r="D109" t="s">
        <v>312</v>
      </c>
      <c r="E109" t="s">
        <v>19</v>
      </c>
      <c r="F109" t="s">
        <v>313</v>
      </c>
      <c r="G109" t="str">
        <f>"00510239"</f>
        <v>00510239</v>
      </c>
      <c r="H109">
        <v>43.2</v>
      </c>
      <c r="I109">
        <v>0</v>
      </c>
      <c r="L109">
        <v>4</v>
      </c>
      <c r="M109">
        <v>4</v>
      </c>
      <c r="N109">
        <v>4</v>
      </c>
      <c r="O109">
        <v>0</v>
      </c>
      <c r="P109">
        <v>51.2</v>
      </c>
      <c r="Q109">
        <v>103</v>
      </c>
      <c r="R109">
        <v>103</v>
      </c>
      <c r="S109">
        <v>0</v>
      </c>
      <c r="T109">
        <v>0</v>
      </c>
      <c r="U109" s="1">
        <v>0</v>
      </c>
      <c r="V109">
        <v>154.2</v>
      </c>
    </row>
    <row r="110" spans="1:22" ht="15">
      <c r="A110" s="4">
        <v>103</v>
      </c>
      <c r="B110">
        <v>3154</v>
      </c>
      <c r="C110" t="s">
        <v>314</v>
      </c>
      <c r="D110" t="s">
        <v>102</v>
      </c>
      <c r="E110" t="s">
        <v>90</v>
      </c>
      <c r="F110" t="s">
        <v>315</v>
      </c>
      <c r="G110" t="str">
        <f>"00162260"</f>
        <v>00162260</v>
      </c>
      <c r="H110">
        <v>36</v>
      </c>
      <c r="I110">
        <v>10</v>
      </c>
      <c r="M110">
        <v>4</v>
      </c>
      <c r="N110">
        <v>0</v>
      </c>
      <c r="O110">
        <v>0</v>
      </c>
      <c r="P110">
        <v>50</v>
      </c>
      <c r="Q110">
        <v>104</v>
      </c>
      <c r="R110">
        <v>104</v>
      </c>
      <c r="S110">
        <v>0</v>
      </c>
      <c r="T110">
        <v>0</v>
      </c>
      <c r="U110" s="1">
        <v>0</v>
      </c>
      <c r="V110">
        <v>154</v>
      </c>
    </row>
    <row r="111" spans="1:22" ht="15">
      <c r="A111" s="4">
        <v>104</v>
      </c>
      <c r="B111">
        <v>375</v>
      </c>
      <c r="C111" t="s">
        <v>316</v>
      </c>
      <c r="D111" t="s">
        <v>280</v>
      </c>
      <c r="E111" t="s">
        <v>317</v>
      </c>
      <c r="F111" t="s">
        <v>318</v>
      </c>
      <c r="G111" t="str">
        <f>"00482838"</f>
        <v>00482838</v>
      </c>
      <c r="H111">
        <v>40</v>
      </c>
      <c r="I111">
        <v>0</v>
      </c>
      <c r="M111">
        <v>4</v>
      </c>
      <c r="N111">
        <v>0</v>
      </c>
      <c r="O111">
        <v>0</v>
      </c>
      <c r="P111">
        <v>44</v>
      </c>
      <c r="Q111">
        <v>107</v>
      </c>
      <c r="R111">
        <v>107</v>
      </c>
      <c r="S111">
        <v>3</v>
      </c>
      <c r="T111">
        <v>0</v>
      </c>
      <c r="U111" s="1">
        <v>0</v>
      </c>
      <c r="V111">
        <v>154</v>
      </c>
    </row>
    <row r="112" spans="1:22" ht="15">
      <c r="A112" s="4">
        <v>105</v>
      </c>
      <c r="B112">
        <v>2773</v>
      </c>
      <c r="C112" t="s">
        <v>96</v>
      </c>
      <c r="D112" t="s">
        <v>319</v>
      </c>
      <c r="E112" t="s">
        <v>51</v>
      </c>
      <c r="F112" t="s">
        <v>320</v>
      </c>
      <c r="G112" t="str">
        <f>"00529867"</f>
        <v>00529867</v>
      </c>
      <c r="H112">
        <v>36.88</v>
      </c>
      <c r="I112">
        <v>0</v>
      </c>
      <c r="M112">
        <v>4</v>
      </c>
      <c r="N112">
        <v>0</v>
      </c>
      <c r="O112">
        <v>0</v>
      </c>
      <c r="P112">
        <v>40.88</v>
      </c>
      <c r="Q112">
        <v>104</v>
      </c>
      <c r="R112">
        <v>104</v>
      </c>
      <c r="S112">
        <v>9</v>
      </c>
      <c r="T112">
        <v>0</v>
      </c>
      <c r="U112" s="1">
        <v>0</v>
      </c>
      <c r="V112">
        <v>153.88</v>
      </c>
    </row>
    <row r="113" spans="1:22" ht="15">
      <c r="A113" s="4">
        <v>106</v>
      </c>
      <c r="B113">
        <v>493</v>
      </c>
      <c r="C113" t="s">
        <v>321</v>
      </c>
      <c r="D113" t="s">
        <v>76</v>
      </c>
      <c r="E113" t="s">
        <v>11</v>
      </c>
      <c r="F113" t="s">
        <v>322</v>
      </c>
      <c r="G113" t="str">
        <f>"00441986"</f>
        <v>00441986</v>
      </c>
      <c r="H113">
        <v>28.8</v>
      </c>
      <c r="I113">
        <v>10</v>
      </c>
      <c r="M113">
        <v>4</v>
      </c>
      <c r="N113">
        <v>0</v>
      </c>
      <c r="O113">
        <v>0</v>
      </c>
      <c r="P113">
        <v>42.8</v>
      </c>
      <c r="Q113">
        <v>105</v>
      </c>
      <c r="R113">
        <v>105</v>
      </c>
      <c r="S113">
        <v>6</v>
      </c>
      <c r="T113">
        <v>0</v>
      </c>
      <c r="U113" s="1">
        <v>0</v>
      </c>
      <c r="V113">
        <v>153.8</v>
      </c>
    </row>
    <row r="114" spans="1:22" ht="15">
      <c r="A114" s="4">
        <v>107</v>
      </c>
      <c r="B114">
        <v>2611</v>
      </c>
      <c r="C114" t="s">
        <v>323</v>
      </c>
      <c r="D114" t="s">
        <v>324</v>
      </c>
      <c r="E114" t="s">
        <v>23</v>
      </c>
      <c r="F114" t="s">
        <v>325</v>
      </c>
      <c r="G114" t="str">
        <f>"200906000528"</f>
        <v>200906000528</v>
      </c>
      <c r="H114">
        <v>64.8</v>
      </c>
      <c r="I114">
        <v>0</v>
      </c>
      <c r="L114">
        <v>4</v>
      </c>
      <c r="M114">
        <v>4</v>
      </c>
      <c r="N114">
        <v>4</v>
      </c>
      <c r="O114">
        <v>0</v>
      </c>
      <c r="P114">
        <v>72.8</v>
      </c>
      <c r="Q114">
        <v>78</v>
      </c>
      <c r="R114">
        <v>78</v>
      </c>
      <c r="S114">
        <v>3</v>
      </c>
      <c r="T114">
        <v>0</v>
      </c>
      <c r="U114" s="1">
        <v>0</v>
      </c>
      <c r="V114">
        <v>153.8</v>
      </c>
    </row>
    <row r="115" spans="1:22" ht="15">
      <c r="A115" s="4">
        <v>108</v>
      </c>
      <c r="B115">
        <v>3188</v>
      </c>
      <c r="C115" t="s">
        <v>326</v>
      </c>
      <c r="D115" t="s">
        <v>102</v>
      </c>
      <c r="E115" t="s">
        <v>327</v>
      </c>
      <c r="F115" t="s">
        <v>328</v>
      </c>
      <c r="G115" t="str">
        <f>"00503174"</f>
        <v>00503174</v>
      </c>
      <c r="H115">
        <v>16.4</v>
      </c>
      <c r="I115">
        <v>10</v>
      </c>
      <c r="M115">
        <v>4</v>
      </c>
      <c r="N115">
        <v>0</v>
      </c>
      <c r="O115">
        <v>0</v>
      </c>
      <c r="P115">
        <v>30.4</v>
      </c>
      <c r="Q115">
        <v>117</v>
      </c>
      <c r="R115">
        <v>117</v>
      </c>
      <c r="S115">
        <v>6</v>
      </c>
      <c r="T115">
        <v>0</v>
      </c>
      <c r="U115" s="1">
        <v>0</v>
      </c>
      <c r="V115">
        <v>153.4</v>
      </c>
    </row>
    <row r="116" spans="1:22" ht="15">
      <c r="A116" s="4">
        <v>109</v>
      </c>
      <c r="B116">
        <v>1576</v>
      </c>
      <c r="C116" t="s">
        <v>329</v>
      </c>
      <c r="D116" t="s">
        <v>330</v>
      </c>
      <c r="E116" t="s">
        <v>157</v>
      </c>
      <c r="F116" t="s">
        <v>331</v>
      </c>
      <c r="G116" t="str">
        <f>"00486032"</f>
        <v>00486032</v>
      </c>
      <c r="H116">
        <v>35.28</v>
      </c>
      <c r="I116">
        <v>0</v>
      </c>
      <c r="M116">
        <v>0</v>
      </c>
      <c r="N116">
        <v>0</v>
      </c>
      <c r="O116">
        <v>0</v>
      </c>
      <c r="P116">
        <v>35.28</v>
      </c>
      <c r="Q116">
        <v>112</v>
      </c>
      <c r="R116">
        <v>112</v>
      </c>
      <c r="S116">
        <v>6</v>
      </c>
      <c r="T116">
        <v>0</v>
      </c>
      <c r="U116" s="1">
        <v>0</v>
      </c>
      <c r="V116">
        <v>153.28</v>
      </c>
    </row>
    <row r="117" spans="1:22" ht="15">
      <c r="A117" s="4">
        <v>110</v>
      </c>
      <c r="B117">
        <v>2999</v>
      </c>
      <c r="C117" t="s">
        <v>332</v>
      </c>
      <c r="D117" t="s">
        <v>333</v>
      </c>
      <c r="E117" t="s">
        <v>334</v>
      </c>
      <c r="F117" t="s">
        <v>335</v>
      </c>
      <c r="G117" t="str">
        <f>"00480563"</f>
        <v>00480563</v>
      </c>
      <c r="H117">
        <v>36</v>
      </c>
      <c r="I117">
        <v>0</v>
      </c>
      <c r="J117">
        <v>8</v>
      </c>
      <c r="L117">
        <v>4</v>
      </c>
      <c r="M117">
        <v>4</v>
      </c>
      <c r="N117">
        <v>12</v>
      </c>
      <c r="O117">
        <v>0</v>
      </c>
      <c r="P117">
        <v>52</v>
      </c>
      <c r="Q117">
        <v>101</v>
      </c>
      <c r="R117">
        <v>101</v>
      </c>
      <c r="S117">
        <v>0</v>
      </c>
      <c r="T117">
        <v>0</v>
      </c>
      <c r="U117" s="1">
        <v>0</v>
      </c>
      <c r="V117">
        <v>153</v>
      </c>
    </row>
    <row r="118" spans="1:22" ht="15">
      <c r="A118" s="4">
        <v>111</v>
      </c>
      <c r="B118">
        <v>2597</v>
      </c>
      <c r="C118" t="s">
        <v>336</v>
      </c>
      <c r="D118" t="s">
        <v>121</v>
      </c>
      <c r="E118" t="s">
        <v>134</v>
      </c>
      <c r="F118" t="s">
        <v>337</v>
      </c>
      <c r="G118" t="str">
        <f>"00532291"</f>
        <v>00532291</v>
      </c>
      <c r="H118">
        <v>64.8</v>
      </c>
      <c r="I118">
        <v>0</v>
      </c>
      <c r="L118">
        <v>4</v>
      </c>
      <c r="M118">
        <v>4</v>
      </c>
      <c r="N118">
        <v>4</v>
      </c>
      <c r="O118">
        <v>0</v>
      </c>
      <c r="P118">
        <v>72.8</v>
      </c>
      <c r="Q118">
        <v>74</v>
      </c>
      <c r="R118">
        <v>74</v>
      </c>
      <c r="S118">
        <v>6</v>
      </c>
      <c r="T118">
        <v>0</v>
      </c>
      <c r="U118" s="1">
        <v>0</v>
      </c>
      <c r="V118">
        <v>152.8</v>
      </c>
    </row>
    <row r="119" spans="1:22" ht="15">
      <c r="A119" s="4">
        <v>112</v>
      </c>
      <c r="B119">
        <v>925</v>
      </c>
      <c r="C119" t="s">
        <v>338</v>
      </c>
      <c r="D119" t="s">
        <v>339</v>
      </c>
      <c r="E119" t="s">
        <v>65</v>
      </c>
      <c r="F119" t="s">
        <v>340</v>
      </c>
      <c r="G119" t="str">
        <f>"00498977"</f>
        <v>00498977</v>
      </c>
      <c r="H119">
        <v>28.72</v>
      </c>
      <c r="I119">
        <v>0</v>
      </c>
      <c r="K119">
        <v>6</v>
      </c>
      <c r="M119">
        <v>4</v>
      </c>
      <c r="N119">
        <v>6</v>
      </c>
      <c r="O119">
        <v>0</v>
      </c>
      <c r="P119">
        <v>38.72</v>
      </c>
      <c r="Q119">
        <v>114</v>
      </c>
      <c r="R119">
        <v>114</v>
      </c>
      <c r="S119">
        <v>0</v>
      </c>
      <c r="T119">
        <v>0</v>
      </c>
      <c r="U119" s="1">
        <v>0</v>
      </c>
      <c r="V119">
        <v>152.72</v>
      </c>
    </row>
    <row r="120" spans="1:22" ht="15">
      <c r="A120" s="4">
        <v>113</v>
      </c>
      <c r="B120">
        <v>1978</v>
      </c>
      <c r="C120" t="s">
        <v>341</v>
      </c>
      <c r="D120" t="s">
        <v>127</v>
      </c>
      <c r="E120" t="s">
        <v>19</v>
      </c>
      <c r="F120" t="s">
        <v>342</v>
      </c>
      <c r="G120" t="str">
        <f>"00163498"</f>
        <v>00163498</v>
      </c>
      <c r="H120">
        <v>27.44</v>
      </c>
      <c r="I120">
        <v>10</v>
      </c>
      <c r="J120">
        <v>8</v>
      </c>
      <c r="M120">
        <v>4</v>
      </c>
      <c r="N120">
        <v>8</v>
      </c>
      <c r="O120">
        <v>0</v>
      </c>
      <c r="P120">
        <v>49.44</v>
      </c>
      <c r="Q120">
        <v>97</v>
      </c>
      <c r="R120">
        <v>97</v>
      </c>
      <c r="S120">
        <v>6</v>
      </c>
      <c r="T120">
        <v>0</v>
      </c>
      <c r="U120" s="1">
        <v>0</v>
      </c>
      <c r="V120">
        <v>152.44</v>
      </c>
    </row>
    <row r="121" spans="1:22" ht="15">
      <c r="A121" s="4">
        <v>114</v>
      </c>
      <c r="B121">
        <v>3262</v>
      </c>
      <c r="C121" t="s">
        <v>343</v>
      </c>
      <c r="D121" t="s">
        <v>173</v>
      </c>
      <c r="E121" t="s">
        <v>344</v>
      </c>
      <c r="F121" t="s">
        <v>345</v>
      </c>
      <c r="G121" t="str">
        <f>"00519692"</f>
        <v>00519692</v>
      </c>
      <c r="H121">
        <v>14.4</v>
      </c>
      <c r="I121">
        <v>0</v>
      </c>
      <c r="L121">
        <v>8</v>
      </c>
      <c r="M121">
        <v>4</v>
      </c>
      <c r="N121">
        <v>8</v>
      </c>
      <c r="O121">
        <v>0</v>
      </c>
      <c r="P121">
        <v>26.4</v>
      </c>
      <c r="Q121">
        <v>120</v>
      </c>
      <c r="R121">
        <v>120</v>
      </c>
      <c r="S121">
        <v>6</v>
      </c>
      <c r="T121">
        <v>0</v>
      </c>
      <c r="U121" s="1" t="s">
        <v>6251</v>
      </c>
      <c r="V121">
        <v>152.4</v>
      </c>
    </row>
    <row r="122" spans="1:22" ht="15">
      <c r="A122" s="4">
        <v>115</v>
      </c>
      <c r="B122">
        <v>289</v>
      </c>
      <c r="C122" t="s">
        <v>346</v>
      </c>
      <c r="D122" t="s">
        <v>127</v>
      </c>
      <c r="E122" t="s">
        <v>59</v>
      </c>
      <c r="F122" t="s">
        <v>347</v>
      </c>
      <c r="G122" t="str">
        <f>"00503095"</f>
        <v>00503095</v>
      </c>
      <c r="H122">
        <v>72</v>
      </c>
      <c r="I122">
        <v>0</v>
      </c>
      <c r="L122">
        <v>4</v>
      </c>
      <c r="M122">
        <v>4</v>
      </c>
      <c r="N122">
        <v>4</v>
      </c>
      <c r="O122">
        <v>0</v>
      </c>
      <c r="P122">
        <v>80</v>
      </c>
      <c r="Q122">
        <v>69</v>
      </c>
      <c r="R122">
        <v>69</v>
      </c>
      <c r="S122">
        <v>3</v>
      </c>
      <c r="T122">
        <v>0</v>
      </c>
      <c r="U122" s="1">
        <v>0</v>
      </c>
      <c r="V122">
        <v>152</v>
      </c>
    </row>
    <row r="123" spans="1:22" ht="15">
      <c r="A123" s="4">
        <v>116</v>
      </c>
      <c r="B123">
        <v>883</v>
      </c>
      <c r="C123" t="s">
        <v>348</v>
      </c>
      <c r="D123" t="s">
        <v>89</v>
      </c>
      <c r="E123" t="s">
        <v>197</v>
      </c>
      <c r="F123" t="s">
        <v>349</v>
      </c>
      <c r="G123" t="str">
        <f>"00509191"</f>
        <v>00509191</v>
      </c>
      <c r="H123">
        <v>28.8</v>
      </c>
      <c r="I123">
        <v>0</v>
      </c>
      <c r="M123">
        <v>4</v>
      </c>
      <c r="N123">
        <v>0</v>
      </c>
      <c r="O123">
        <v>0</v>
      </c>
      <c r="P123">
        <v>32.8</v>
      </c>
      <c r="Q123">
        <v>113</v>
      </c>
      <c r="R123">
        <v>113</v>
      </c>
      <c r="S123">
        <v>6</v>
      </c>
      <c r="T123">
        <v>0</v>
      </c>
      <c r="U123" s="1">
        <v>0</v>
      </c>
      <c r="V123">
        <v>151.8</v>
      </c>
    </row>
    <row r="124" spans="1:22" ht="15">
      <c r="A124" s="4">
        <v>117</v>
      </c>
      <c r="B124">
        <v>3101</v>
      </c>
      <c r="C124" t="s">
        <v>192</v>
      </c>
      <c r="D124" t="s">
        <v>350</v>
      </c>
      <c r="E124" t="s">
        <v>23</v>
      </c>
      <c r="F124" t="s">
        <v>351</v>
      </c>
      <c r="G124" t="str">
        <f>"00510947"</f>
        <v>00510947</v>
      </c>
      <c r="H124">
        <v>28.8</v>
      </c>
      <c r="I124">
        <v>10</v>
      </c>
      <c r="J124">
        <v>8</v>
      </c>
      <c r="M124">
        <v>0</v>
      </c>
      <c r="N124">
        <v>8</v>
      </c>
      <c r="O124">
        <v>0</v>
      </c>
      <c r="P124">
        <v>46.8</v>
      </c>
      <c r="Q124">
        <v>105</v>
      </c>
      <c r="R124">
        <v>105</v>
      </c>
      <c r="S124">
        <v>0</v>
      </c>
      <c r="T124">
        <v>0</v>
      </c>
      <c r="U124" s="1">
        <v>0</v>
      </c>
      <c r="V124">
        <v>151.8</v>
      </c>
    </row>
    <row r="125" spans="1:22" ht="15">
      <c r="A125" s="4">
        <v>118</v>
      </c>
      <c r="B125">
        <v>3130</v>
      </c>
      <c r="C125" t="s">
        <v>352</v>
      </c>
      <c r="D125" t="s">
        <v>182</v>
      </c>
      <c r="E125" t="s">
        <v>86</v>
      </c>
      <c r="F125" t="s">
        <v>353</v>
      </c>
      <c r="G125" t="str">
        <f>"00442138"</f>
        <v>00442138</v>
      </c>
      <c r="H125">
        <v>43.2</v>
      </c>
      <c r="I125">
        <v>10</v>
      </c>
      <c r="M125">
        <v>4</v>
      </c>
      <c r="N125">
        <v>0</v>
      </c>
      <c r="O125">
        <v>0</v>
      </c>
      <c r="P125">
        <v>57.2</v>
      </c>
      <c r="Q125">
        <v>85</v>
      </c>
      <c r="R125">
        <v>85</v>
      </c>
      <c r="S125">
        <v>9</v>
      </c>
      <c r="T125">
        <v>0</v>
      </c>
      <c r="U125" s="1">
        <v>0</v>
      </c>
      <c r="V125">
        <v>151.2</v>
      </c>
    </row>
    <row r="126" spans="1:22" ht="15">
      <c r="A126" s="4">
        <v>119</v>
      </c>
      <c r="B126">
        <v>340</v>
      </c>
      <c r="C126" t="s">
        <v>354</v>
      </c>
      <c r="D126" t="s">
        <v>273</v>
      </c>
      <c r="E126" t="s">
        <v>11</v>
      </c>
      <c r="F126" t="s">
        <v>355</v>
      </c>
      <c r="G126" t="str">
        <f>"00153026"</f>
        <v>00153026</v>
      </c>
      <c r="H126">
        <v>7.2</v>
      </c>
      <c r="I126">
        <v>10</v>
      </c>
      <c r="L126">
        <v>4</v>
      </c>
      <c r="M126">
        <v>4</v>
      </c>
      <c r="N126">
        <v>4</v>
      </c>
      <c r="O126">
        <v>0</v>
      </c>
      <c r="P126">
        <v>25.2</v>
      </c>
      <c r="Q126">
        <v>120</v>
      </c>
      <c r="R126">
        <v>120</v>
      </c>
      <c r="S126">
        <v>6</v>
      </c>
      <c r="T126">
        <v>0</v>
      </c>
      <c r="U126" s="1">
        <v>0</v>
      </c>
      <c r="V126">
        <v>151.2</v>
      </c>
    </row>
    <row r="127" spans="1:22" ht="15">
      <c r="A127" s="4">
        <v>120</v>
      </c>
      <c r="B127">
        <v>2179</v>
      </c>
      <c r="C127" t="s">
        <v>356</v>
      </c>
      <c r="D127" t="s">
        <v>357</v>
      </c>
      <c r="E127" t="s">
        <v>358</v>
      </c>
      <c r="F127" t="s">
        <v>359</v>
      </c>
      <c r="G127" t="str">
        <f>"00527303"</f>
        <v>00527303</v>
      </c>
      <c r="H127">
        <v>26.84</v>
      </c>
      <c r="I127">
        <v>10</v>
      </c>
      <c r="L127">
        <v>4</v>
      </c>
      <c r="M127">
        <v>4</v>
      </c>
      <c r="N127">
        <v>4</v>
      </c>
      <c r="O127">
        <v>2</v>
      </c>
      <c r="P127">
        <v>46.84</v>
      </c>
      <c r="Q127">
        <v>69</v>
      </c>
      <c r="R127">
        <v>69</v>
      </c>
      <c r="S127">
        <v>6</v>
      </c>
      <c r="T127">
        <v>28.8</v>
      </c>
      <c r="U127" s="1">
        <v>0</v>
      </c>
      <c r="V127">
        <v>150.64</v>
      </c>
    </row>
    <row r="128" spans="1:22" ht="15">
      <c r="A128" s="4">
        <v>121</v>
      </c>
      <c r="B128">
        <v>1101</v>
      </c>
      <c r="C128" t="s">
        <v>360</v>
      </c>
      <c r="D128" t="s">
        <v>90</v>
      </c>
      <c r="E128" t="s">
        <v>51</v>
      </c>
      <c r="F128" t="s">
        <v>361</v>
      </c>
      <c r="G128" t="str">
        <f>"00481873"</f>
        <v>00481873</v>
      </c>
      <c r="H128">
        <v>57.6</v>
      </c>
      <c r="I128">
        <v>10</v>
      </c>
      <c r="M128">
        <v>4</v>
      </c>
      <c r="N128">
        <v>0</v>
      </c>
      <c r="O128">
        <v>0</v>
      </c>
      <c r="P128">
        <v>71.6</v>
      </c>
      <c r="Q128">
        <v>79</v>
      </c>
      <c r="R128">
        <v>79</v>
      </c>
      <c r="S128">
        <v>0</v>
      </c>
      <c r="T128">
        <v>0</v>
      </c>
      <c r="U128" s="1">
        <v>0</v>
      </c>
      <c r="V128">
        <v>150.6</v>
      </c>
    </row>
    <row r="129" spans="1:22" ht="15">
      <c r="A129" s="4">
        <v>122</v>
      </c>
      <c r="B129">
        <v>377</v>
      </c>
      <c r="C129" t="s">
        <v>362</v>
      </c>
      <c r="D129" t="s">
        <v>363</v>
      </c>
      <c r="E129" t="s">
        <v>364</v>
      </c>
      <c r="F129" t="s">
        <v>365</v>
      </c>
      <c r="G129" t="str">
        <f>"00530471"</f>
        <v>00530471</v>
      </c>
      <c r="H129">
        <v>39.16</v>
      </c>
      <c r="I129">
        <v>0</v>
      </c>
      <c r="J129">
        <v>8</v>
      </c>
      <c r="M129">
        <v>0</v>
      </c>
      <c r="N129">
        <v>8</v>
      </c>
      <c r="O129">
        <v>2</v>
      </c>
      <c r="P129">
        <v>49.16</v>
      </c>
      <c r="Q129">
        <v>95</v>
      </c>
      <c r="R129">
        <v>95</v>
      </c>
      <c r="S129">
        <v>6</v>
      </c>
      <c r="T129">
        <v>0</v>
      </c>
      <c r="U129" s="1">
        <v>0</v>
      </c>
      <c r="V129">
        <v>150.16</v>
      </c>
    </row>
    <row r="130" spans="1:22" ht="15">
      <c r="A130" s="4">
        <v>123</v>
      </c>
      <c r="B130">
        <v>407</v>
      </c>
      <c r="C130" t="s">
        <v>366</v>
      </c>
      <c r="D130" t="s">
        <v>367</v>
      </c>
      <c r="E130" t="s">
        <v>225</v>
      </c>
      <c r="F130" t="s">
        <v>368</v>
      </c>
      <c r="G130" t="str">
        <f>"200902000484"</f>
        <v>200902000484</v>
      </c>
      <c r="H130">
        <v>50.4</v>
      </c>
      <c r="I130">
        <v>10</v>
      </c>
      <c r="M130">
        <v>4</v>
      </c>
      <c r="N130">
        <v>0</v>
      </c>
      <c r="O130">
        <v>0</v>
      </c>
      <c r="P130">
        <v>64.4</v>
      </c>
      <c r="Q130">
        <v>79</v>
      </c>
      <c r="R130">
        <v>79</v>
      </c>
      <c r="S130">
        <v>6</v>
      </c>
      <c r="T130">
        <v>0</v>
      </c>
      <c r="U130" s="1">
        <v>0</v>
      </c>
      <c r="V130">
        <v>149.4</v>
      </c>
    </row>
    <row r="131" spans="1:22" ht="15">
      <c r="A131" s="4">
        <v>124</v>
      </c>
      <c r="B131">
        <v>1217</v>
      </c>
      <c r="C131" t="s">
        <v>369</v>
      </c>
      <c r="D131" t="s">
        <v>370</v>
      </c>
      <c r="E131" t="s">
        <v>19</v>
      </c>
      <c r="F131" t="s">
        <v>371</v>
      </c>
      <c r="G131" t="str">
        <f>"00148388"</f>
        <v>00148388</v>
      </c>
      <c r="H131">
        <v>18.92</v>
      </c>
      <c r="I131">
        <v>10</v>
      </c>
      <c r="M131">
        <v>4</v>
      </c>
      <c r="N131">
        <v>0</v>
      </c>
      <c r="O131">
        <v>2</v>
      </c>
      <c r="P131">
        <v>34.92</v>
      </c>
      <c r="Q131">
        <v>114</v>
      </c>
      <c r="R131">
        <v>114</v>
      </c>
      <c r="S131">
        <v>0</v>
      </c>
      <c r="T131">
        <v>0</v>
      </c>
      <c r="U131" s="1">
        <v>0</v>
      </c>
      <c r="V131">
        <v>148.92</v>
      </c>
    </row>
    <row r="132" spans="1:22" ht="15">
      <c r="A132" s="4">
        <v>125</v>
      </c>
      <c r="B132">
        <v>2909</v>
      </c>
      <c r="C132" t="s">
        <v>372</v>
      </c>
      <c r="D132" t="s">
        <v>373</v>
      </c>
      <c r="E132" t="s">
        <v>15</v>
      </c>
      <c r="F132" t="s">
        <v>374</v>
      </c>
      <c r="G132" t="str">
        <f>"00442330"</f>
        <v>00442330</v>
      </c>
      <c r="H132">
        <v>64.8</v>
      </c>
      <c r="I132">
        <v>10</v>
      </c>
      <c r="M132">
        <v>4</v>
      </c>
      <c r="N132">
        <v>0</v>
      </c>
      <c r="O132">
        <v>0</v>
      </c>
      <c r="P132">
        <v>78.8</v>
      </c>
      <c r="Q132">
        <v>70</v>
      </c>
      <c r="R132">
        <v>70</v>
      </c>
      <c r="S132">
        <v>0</v>
      </c>
      <c r="T132">
        <v>0</v>
      </c>
      <c r="U132" s="1">
        <v>0</v>
      </c>
      <c r="V132">
        <v>148.8</v>
      </c>
    </row>
    <row r="133" spans="1:22" ht="15">
      <c r="A133" s="4">
        <v>126</v>
      </c>
      <c r="B133">
        <v>2629</v>
      </c>
      <c r="C133" t="s">
        <v>370</v>
      </c>
      <c r="D133" t="s">
        <v>40</v>
      </c>
      <c r="E133" t="s">
        <v>375</v>
      </c>
      <c r="F133" t="s">
        <v>376</v>
      </c>
      <c r="G133" t="str">
        <f>"00463634"</f>
        <v>00463634</v>
      </c>
      <c r="H133">
        <v>21.6</v>
      </c>
      <c r="I133">
        <v>0</v>
      </c>
      <c r="M133">
        <v>4</v>
      </c>
      <c r="N133">
        <v>0</v>
      </c>
      <c r="O133">
        <v>0</v>
      </c>
      <c r="P133">
        <v>25.6</v>
      </c>
      <c r="Q133">
        <v>120</v>
      </c>
      <c r="R133">
        <v>120</v>
      </c>
      <c r="S133">
        <v>3</v>
      </c>
      <c r="T133">
        <v>0</v>
      </c>
      <c r="U133" s="1">
        <v>0</v>
      </c>
      <c r="V133">
        <v>148.6</v>
      </c>
    </row>
    <row r="134" spans="1:22" ht="15">
      <c r="A134" s="4">
        <v>127</v>
      </c>
      <c r="B134">
        <v>3156</v>
      </c>
      <c r="C134" t="s">
        <v>377</v>
      </c>
      <c r="D134" t="s">
        <v>378</v>
      </c>
      <c r="E134" t="s">
        <v>157</v>
      </c>
      <c r="F134" t="s">
        <v>379</v>
      </c>
      <c r="G134" t="str">
        <f>"00491947"</f>
        <v>00491947</v>
      </c>
      <c r="H134">
        <v>50.4</v>
      </c>
      <c r="I134">
        <v>0</v>
      </c>
      <c r="M134">
        <v>4</v>
      </c>
      <c r="N134">
        <v>0</v>
      </c>
      <c r="O134">
        <v>0</v>
      </c>
      <c r="P134">
        <v>54.4</v>
      </c>
      <c r="Q134">
        <v>88</v>
      </c>
      <c r="R134">
        <v>88</v>
      </c>
      <c r="S134">
        <v>6</v>
      </c>
      <c r="T134">
        <v>0</v>
      </c>
      <c r="U134" s="1">
        <v>0</v>
      </c>
      <c r="V134">
        <v>148.4</v>
      </c>
    </row>
    <row r="135" spans="1:22" ht="15">
      <c r="A135" s="4">
        <v>128</v>
      </c>
      <c r="B135">
        <v>2969</v>
      </c>
      <c r="C135" t="s">
        <v>380</v>
      </c>
      <c r="D135" t="s">
        <v>14</v>
      </c>
      <c r="E135" t="s">
        <v>317</v>
      </c>
      <c r="F135" t="s">
        <v>381</v>
      </c>
      <c r="G135" t="str">
        <f>"00442443"</f>
        <v>00442443</v>
      </c>
      <c r="H135">
        <v>43.2</v>
      </c>
      <c r="I135">
        <v>0</v>
      </c>
      <c r="J135">
        <v>8</v>
      </c>
      <c r="M135">
        <v>0</v>
      </c>
      <c r="N135">
        <v>8</v>
      </c>
      <c r="O135">
        <v>0</v>
      </c>
      <c r="P135">
        <v>51.2</v>
      </c>
      <c r="Q135">
        <v>97</v>
      </c>
      <c r="R135">
        <v>97</v>
      </c>
      <c r="S135">
        <v>0</v>
      </c>
      <c r="T135">
        <v>0</v>
      </c>
      <c r="U135" s="1">
        <v>0</v>
      </c>
      <c r="V135">
        <v>148.2</v>
      </c>
    </row>
    <row r="136" spans="1:22" ht="15">
      <c r="A136" s="4">
        <v>129</v>
      </c>
      <c r="B136">
        <v>1807</v>
      </c>
      <c r="C136" t="s">
        <v>382</v>
      </c>
      <c r="D136" t="s">
        <v>14</v>
      </c>
      <c r="E136" t="s">
        <v>55</v>
      </c>
      <c r="F136" t="s">
        <v>383</v>
      </c>
      <c r="G136" t="str">
        <f>"00481908"</f>
        <v>00481908</v>
      </c>
      <c r="H136">
        <v>72</v>
      </c>
      <c r="I136">
        <v>0</v>
      </c>
      <c r="L136">
        <v>4</v>
      </c>
      <c r="M136">
        <v>4</v>
      </c>
      <c r="N136">
        <v>4</v>
      </c>
      <c r="O136">
        <v>0</v>
      </c>
      <c r="P136">
        <v>80</v>
      </c>
      <c r="Q136">
        <v>68</v>
      </c>
      <c r="R136">
        <v>68</v>
      </c>
      <c r="S136">
        <v>0</v>
      </c>
      <c r="T136">
        <v>0</v>
      </c>
      <c r="U136" s="1">
        <v>0</v>
      </c>
      <c r="V136">
        <v>148</v>
      </c>
    </row>
    <row r="137" spans="1:22" ht="15">
      <c r="A137" s="4">
        <v>130</v>
      </c>
      <c r="B137">
        <v>763</v>
      </c>
      <c r="C137" t="s">
        <v>384</v>
      </c>
      <c r="D137" t="s">
        <v>40</v>
      </c>
      <c r="E137" t="s">
        <v>385</v>
      </c>
      <c r="F137" t="s">
        <v>386</v>
      </c>
      <c r="G137" t="str">
        <f>"201511032397"</f>
        <v>201511032397</v>
      </c>
      <c r="H137">
        <v>57.6</v>
      </c>
      <c r="I137">
        <v>10</v>
      </c>
      <c r="L137">
        <v>4</v>
      </c>
      <c r="M137">
        <v>4</v>
      </c>
      <c r="N137">
        <v>4</v>
      </c>
      <c r="O137">
        <v>2</v>
      </c>
      <c r="P137">
        <v>77.6</v>
      </c>
      <c r="Q137">
        <v>70</v>
      </c>
      <c r="R137">
        <v>70</v>
      </c>
      <c r="S137">
        <v>0</v>
      </c>
      <c r="T137">
        <v>0</v>
      </c>
      <c r="U137" s="1">
        <v>0</v>
      </c>
      <c r="V137">
        <v>147.6</v>
      </c>
    </row>
    <row r="138" spans="1:22" ht="15">
      <c r="A138" s="4">
        <v>131</v>
      </c>
      <c r="B138">
        <v>2574</v>
      </c>
      <c r="C138" t="s">
        <v>387</v>
      </c>
      <c r="D138" t="s">
        <v>76</v>
      </c>
      <c r="E138" t="s">
        <v>47</v>
      </c>
      <c r="F138" t="s">
        <v>388</v>
      </c>
      <c r="G138" t="str">
        <f>"00520386"</f>
        <v>00520386</v>
      </c>
      <c r="H138">
        <v>35.56</v>
      </c>
      <c r="I138">
        <v>10</v>
      </c>
      <c r="J138">
        <v>8</v>
      </c>
      <c r="M138">
        <v>4</v>
      </c>
      <c r="N138">
        <v>8</v>
      </c>
      <c r="O138">
        <v>0</v>
      </c>
      <c r="P138">
        <v>57.56</v>
      </c>
      <c r="Q138">
        <v>78</v>
      </c>
      <c r="R138">
        <v>78</v>
      </c>
      <c r="S138">
        <v>12</v>
      </c>
      <c r="T138">
        <v>0</v>
      </c>
      <c r="U138" s="1">
        <v>0</v>
      </c>
      <c r="V138">
        <v>147.56</v>
      </c>
    </row>
    <row r="139" spans="1:22" ht="15">
      <c r="A139" s="4">
        <v>132</v>
      </c>
      <c r="B139">
        <v>1910</v>
      </c>
      <c r="C139" t="s">
        <v>389</v>
      </c>
      <c r="D139" t="s">
        <v>390</v>
      </c>
      <c r="E139" t="s">
        <v>73</v>
      </c>
      <c r="F139" t="s">
        <v>391</v>
      </c>
      <c r="G139" t="str">
        <f>"00517585"</f>
        <v>00517585</v>
      </c>
      <c r="H139">
        <v>14.4</v>
      </c>
      <c r="I139">
        <v>10</v>
      </c>
      <c r="L139">
        <v>4</v>
      </c>
      <c r="M139">
        <v>4</v>
      </c>
      <c r="N139">
        <v>4</v>
      </c>
      <c r="O139">
        <v>0</v>
      </c>
      <c r="P139">
        <v>32.4</v>
      </c>
      <c r="Q139">
        <v>115</v>
      </c>
      <c r="R139">
        <v>115</v>
      </c>
      <c r="S139">
        <v>0</v>
      </c>
      <c r="T139">
        <v>0</v>
      </c>
      <c r="U139" s="1">
        <v>0</v>
      </c>
      <c r="V139">
        <v>147.4</v>
      </c>
    </row>
    <row r="140" spans="1:22" ht="15">
      <c r="A140" s="4">
        <v>133</v>
      </c>
      <c r="B140">
        <v>192</v>
      </c>
      <c r="C140" t="s">
        <v>392</v>
      </c>
      <c r="D140" t="s">
        <v>29</v>
      </c>
      <c r="E140" t="s">
        <v>30</v>
      </c>
      <c r="F140" t="s">
        <v>393</v>
      </c>
      <c r="G140" t="str">
        <f>"00441696"</f>
        <v>00441696</v>
      </c>
      <c r="H140">
        <v>14.4</v>
      </c>
      <c r="I140">
        <v>0</v>
      </c>
      <c r="L140">
        <v>4</v>
      </c>
      <c r="M140">
        <v>4</v>
      </c>
      <c r="N140">
        <v>4</v>
      </c>
      <c r="O140">
        <v>0</v>
      </c>
      <c r="P140">
        <v>22.4</v>
      </c>
      <c r="Q140">
        <v>119</v>
      </c>
      <c r="R140">
        <v>119</v>
      </c>
      <c r="S140">
        <v>6</v>
      </c>
      <c r="T140">
        <v>0</v>
      </c>
      <c r="U140" s="1">
        <v>0</v>
      </c>
      <c r="V140">
        <v>147.4</v>
      </c>
    </row>
    <row r="141" spans="1:22" ht="15">
      <c r="A141" s="4">
        <v>134</v>
      </c>
      <c r="B141">
        <v>3377</v>
      </c>
      <c r="C141" t="s">
        <v>394</v>
      </c>
      <c r="D141" t="s">
        <v>395</v>
      </c>
      <c r="E141" t="s">
        <v>23</v>
      </c>
      <c r="F141" t="s">
        <v>396</v>
      </c>
      <c r="G141" t="str">
        <f>"00478772"</f>
        <v>00478772</v>
      </c>
      <c r="H141">
        <v>7.2</v>
      </c>
      <c r="I141">
        <v>0</v>
      </c>
      <c r="L141">
        <v>4</v>
      </c>
      <c r="M141">
        <v>4</v>
      </c>
      <c r="N141">
        <v>4</v>
      </c>
      <c r="O141">
        <v>0</v>
      </c>
      <c r="P141">
        <v>15.2</v>
      </c>
      <c r="Q141">
        <v>96</v>
      </c>
      <c r="R141">
        <v>96</v>
      </c>
      <c r="S141">
        <v>0</v>
      </c>
      <c r="T141">
        <v>36</v>
      </c>
      <c r="U141" s="1">
        <v>0</v>
      </c>
      <c r="V141">
        <v>147.2</v>
      </c>
    </row>
    <row r="142" spans="1:22" ht="15">
      <c r="A142" s="4">
        <v>135</v>
      </c>
      <c r="B142">
        <v>1895</v>
      </c>
      <c r="C142" t="s">
        <v>397</v>
      </c>
      <c r="D142" t="s">
        <v>398</v>
      </c>
      <c r="E142" t="s">
        <v>90</v>
      </c>
      <c r="F142" t="s">
        <v>399</v>
      </c>
      <c r="G142" t="str">
        <f>"00531018"</f>
        <v>00531018</v>
      </c>
      <c r="H142">
        <v>43.2</v>
      </c>
      <c r="I142">
        <v>10</v>
      </c>
      <c r="L142">
        <v>4</v>
      </c>
      <c r="M142">
        <v>4</v>
      </c>
      <c r="N142">
        <v>4</v>
      </c>
      <c r="O142">
        <v>0</v>
      </c>
      <c r="P142">
        <v>61.2</v>
      </c>
      <c r="Q142">
        <v>74</v>
      </c>
      <c r="R142">
        <v>74</v>
      </c>
      <c r="S142">
        <v>12</v>
      </c>
      <c r="T142">
        <v>0</v>
      </c>
      <c r="U142" s="1">
        <v>0</v>
      </c>
      <c r="V142">
        <v>147.2</v>
      </c>
    </row>
    <row r="143" spans="1:22" ht="15">
      <c r="A143" s="4">
        <v>136</v>
      </c>
      <c r="B143">
        <v>930</v>
      </c>
      <c r="C143" t="s">
        <v>400</v>
      </c>
      <c r="D143" t="s">
        <v>29</v>
      </c>
      <c r="E143" t="s">
        <v>30</v>
      </c>
      <c r="F143" t="s">
        <v>401</v>
      </c>
      <c r="G143" t="str">
        <f>"00505230"</f>
        <v>00505230</v>
      </c>
      <c r="H143">
        <v>43.2</v>
      </c>
      <c r="I143">
        <v>0</v>
      </c>
      <c r="L143">
        <v>4</v>
      </c>
      <c r="M143">
        <v>4</v>
      </c>
      <c r="N143">
        <v>4</v>
      </c>
      <c r="O143">
        <v>0</v>
      </c>
      <c r="P143">
        <v>51.2</v>
      </c>
      <c r="Q143">
        <v>96</v>
      </c>
      <c r="R143">
        <v>96</v>
      </c>
      <c r="S143">
        <v>0</v>
      </c>
      <c r="T143">
        <v>0</v>
      </c>
      <c r="U143" s="1">
        <v>0</v>
      </c>
      <c r="V143">
        <v>147.2</v>
      </c>
    </row>
    <row r="144" spans="1:22" ht="15">
      <c r="A144" s="4">
        <v>137</v>
      </c>
      <c r="B144">
        <v>2824</v>
      </c>
      <c r="C144" t="s">
        <v>402</v>
      </c>
      <c r="D144" t="s">
        <v>127</v>
      </c>
      <c r="E144" t="s">
        <v>403</v>
      </c>
      <c r="F144" t="s">
        <v>404</v>
      </c>
      <c r="G144" t="str">
        <f>"00163086"</f>
        <v>00163086</v>
      </c>
      <c r="H144">
        <v>72</v>
      </c>
      <c r="I144">
        <v>0</v>
      </c>
      <c r="M144">
        <v>4</v>
      </c>
      <c r="N144">
        <v>0</v>
      </c>
      <c r="O144">
        <v>2</v>
      </c>
      <c r="P144">
        <v>78</v>
      </c>
      <c r="Q144">
        <v>69</v>
      </c>
      <c r="R144">
        <v>69</v>
      </c>
      <c r="S144">
        <v>0</v>
      </c>
      <c r="T144">
        <v>0</v>
      </c>
      <c r="U144" s="1">
        <v>0</v>
      </c>
      <c r="V144">
        <v>147</v>
      </c>
    </row>
    <row r="145" spans="1:22" ht="15">
      <c r="A145" s="4">
        <v>138</v>
      </c>
      <c r="B145">
        <v>102</v>
      </c>
      <c r="C145" t="s">
        <v>405</v>
      </c>
      <c r="D145" t="s">
        <v>72</v>
      </c>
      <c r="E145" t="s">
        <v>90</v>
      </c>
      <c r="F145" t="s">
        <v>406</v>
      </c>
      <c r="G145" t="str">
        <f>"00505032"</f>
        <v>00505032</v>
      </c>
      <c r="H145">
        <v>28.8</v>
      </c>
      <c r="I145">
        <v>10</v>
      </c>
      <c r="M145">
        <v>4</v>
      </c>
      <c r="N145">
        <v>0</v>
      </c>
      <c r="O145">
        <v>0</v>
      </c>
      <c r="P145">
        <v>42.8</v>
      </c>
      <c r="Q145">
        <v>104</v>
      </c>
      <c r="R145">
        <v>104</v>
      </c>
      <c r="S145">
        <v>0</v>
      </c>
      <c r="T145">
        <v>0</v>
      </c>
      <c r="U145" s="1">
        <v>0</v>
      </c>
      <c r="V145">
        <v>146.8</v>
      </c>
    </row>
    <row r="146" spans="1:22" ht="15">
      <c r="A146" s="4">
        <v>139</v>
      </c>
      <c r="B146">
        <v>887</v>
      </c>
      <c r="C146" t="s">
        <v>407</v>
      </c>
      <c r="D146" t="s">
        <v>408</v>
      </c>
      <c r="E146" t="s">
        <v>90</v>
      </c>
      <c r="F146" t="s">
        <v>409</v>
      </c>
      <c r="G146" t="str">
        <f>"00520355"</f>
        <v>00520355</v>
      </c>
      <c r="H146">
        <v>15.72</v>
      </c>
      <c r="I146">
        <v>0</v>
      </c>
      <c r="M146">
        <v>4</v>
      </c>
      <c r="N146">
        <v>0</v>
      </c>
      <c r="O146">
        <v>0</v>
      </c>
      <c r="P146">
        <v>19.72</v>
      </c>
      <c r="Q146">
        <v>118</v>
      </c>
      <c r="R146">
        <v>118</v>
      </c>
      <c r="S146">
        <v>9</v>
      </c>
      <c r="T146">
        <v>0</v>
      </c>
      <c r="U146" s="1">
        <v>0</v>
      </c>
      <c r="V146">
        <v>146.72</v>
      </c>
    </row>
    <row r="147" spans="1:22" ht="15">
      <c r="A147" s="4">
        <v>140</v>
      </c>
      <c r="B147">
        <v>2135</v>
      </c>
      <c r="C147" t="s">
        <v>410</v>
      </c>
      <c r="D147" t="s">
        <v>14</v>
      </c>
      <c r="E147" t="s">
        <v>411</v>
      </c>
      <c r="F147" t="s">
        <v>412</v>
      </c>
      <c r="G147" t="str">
        <f>"00524325"</f>
        <v>00524325</v>
      </c>
      <c r="H147">
        <v>29.72</v>
      </c>
      <c r="I147">
        <v>0</v>
      </c>
      <c r="M147">
        <v>0</v>
      </c>
      <c r="N147">
        <v>0</v>
      </c>
      <c r="O147">
        <v>0</v>
      </c>
      <c r="P147">
        <v>29.72</v>
      </c>
      <c r="Q147">
        <v>111</v>
      </c>
      <c r="R147">
        <v>111</v>
      </c>
      <c r="S147">
        <v>6</v>
      </c>
      <c r="T147">
        <v>0</v>
      </c>
      <c r="U147" s="1">
        <v>0</v>
      </c>
      <c r="V147">
        <v>146.72</v>
      </c>
    </row>
    <row r="148" spans="1:22" ht="15">
      <c r="A148" s="4">
        <v>141</v>
      </c>
      <c r="B148">
        <v>1137</v>
      </c>
      <c r="C148" t="s">
        <v>413</v>
      </c>
      <c r="D148" t="s">
        <v>414</v>
      </c>
      <c r="E148" t="s">
        <v>11</v>
      </c>
      <c r="F148" t="s">
        <v>415</v>
      </c>
      <c r="G148" t="str">
        <f>"00153834"</f>
        <v>00153834</v>
      </c>
      <c r="H148">
        <v>50.4</v>
      </c>
      <c r="I148">
        <v>10</v>
      </c>
      <c r="M148">
        <v>4</v>
      </c>
      <c r="N148">
        <v>0</v>
      </c>
      <c r="O148">
        <v>0</v>
      </c>
      <c r="P148">
        <v>64.4</v>
      </c>
      <c r="Q148">
        <v>76</v>
      </c>
      <c r="R148">
        <v>76</v>
      </c>
      <c r="S148">
        <v>6</v>
      </c>
      <c r="T148">
        <v>0</v>
      </c>
      <c r="U148" s="1">
        <v>0</v>
      </c>
      <c r="V148">
        <v>146.4</v>
      </c>
    </row>
    <row r="149" spans="1:22" ht="15">
      <c r="A149" s="4">
        <v>142</v>
      </c>
      <c r="B149">
        <v>1545</v>
      </c>
      <c r="C149" t="s">
        <v>304</v>
      </c>
      <c r="D149" t="s">
        <v>416</v>
      </c>
      <c r="E149" t="s">
        <v>11</v>
      </c>
      <c r="F149" t="s">
        <v>417</v>
      </c>
      <c r="G149" t="str">
        <f>"00531237"</f>
        <v>00531237</v>
      </c>
      <c r="H149">
        <v>50.4</v>
      </c>
      <c r="I149">
        <v>0</v>
      </c>
      <c r="J149">
        <v>8</v>
      </c>
      <c r="M149">
        <v>4</v>
      </c>
      <c r="N149">
        <v>8</v>
      </c>
      <c r="O149">
        <v>0</v>
      </c>
      <c r="P149">
        <v>62.4</v>
      </c>
      <c r="Q149">
        <v>75</v>
      </c>
      <c r="R149">
        <v>75</v>
      </c>
      <c r="S149">
        <v>9</v>
      </c>
      <c r="T149">
        <v>0</v>
      </c>
      <c r="U149" s="1">
        <v>0</v>
      </c>
      <c r="V149">
        <v>146.4</v>
      </c>
    </row>
    <row r="150" spans="1:22" ht="15">
      <c r="A150" s="4">
        <v>143</v>
      </c>
      <c r="B150">
        <v>3005</v>
      </c>
      <c r="C150" t="s">
        <v>418</v>
      </c>
      <c r="D150" t="s">
        <v>173</v>
      </c>
      <c r="E150" t="s">
        <v>55</v>
      </c>
      <c r="F150" t="s">
        <v>419</v>
      </c>
      <c r="G150" t="str">
        <f>"00441768"</f>
        <v>00441768</v>
      </c>
      <c r="H150">
        <v>72</v>
      </c>
      <c r="I150">
        <v>0</v>
      </c>
      <c r="M150">
        <v>4</v>
      </c>
      <c r="N150">
        <v>0</v>
      </c>
      <c r="O150">
        <v>0</v>
      </c>
      <c r="P150">
        <v>76</v>
      </c>
      <c r="Q150">
        <v>70</v>
      </c>
      <c r="R150">
        <v>70</v>
      </c>
      <c r="S150">
        <v>0</v>
      </c>
      <c r="T150">
        <v>0</v>
      </c>
      <c r="U150" s="1">
        <v>0</v>
      </c>
      <c r="V150">
        <v>146</v>
      </c>
    </row>
    <row r="151" spans="1:22" ht="15">
      <c r="A151" s="4">
        <v>144</v>
      </c>
      <c r="B151">
        <v>1711</v>
      </c>
      <c r="C151" t="s">
        <v>420</v>
      </c>
      <c r="D151" t="s">
        <v>179</v>
      </c>
      <c r="E151" t="s">
        <v>90</v>
      </c>
      <c r="F151" t="s">
        <v>421</v>
      </c>
      <c r="G151" t="str">
        <f>"00148669"</f>
        <v>00148669</v>
      </c>
      <c r="H151">
        <v>28.8</v>
      </c>
      <c r="I151">
        <v>0</v>
      </c>
      <c r="M151">
        <v>4</v>
      </c>
      <c r="N151">
        <v>0</v>
      </c>
      <c r="O151">
        <v>0</v>
      </c>
      <c r="P151">
        <v>32.8</v>
      </c>
      <c r="Q151">
        <v>113</v>
      </c>
      <c r="R151">
        <v>113</v>
      </c>
      <c r="S151">
        <v>0</v>
      </c>
      <c r="T151">
        <v>0</v>
      </c>
      <c r="U151" s="1">
        <v>0</v>
      </c>
      <c r="V151">
        <v>145.8</v>
      </c>
    </row>
    <row r="152" spans="1:22" ht="15">
      <c r="A152" s="4">
        <v>145</v>
      </c>
      <c r="B152">
        <v>1680</v>
      </c>
      <c r="C152" t="s">
        <v>422</v>
      </c>
      <c r="D152" t="s">
        <v>273</v>
      </c>
      <c r="E152" t="s">
        <v>90</v>
      </c>
      <c r="F152" t="s">
        <v>423</v>
      </c>
      <c r="G152" t="str">
        <f>"00441561"</f>
        <v>00441561</v>
      </c>
      <c r="H152">
        <v>28.8</v>
      </c>
      <c r="I152">
        <v>0</v>
      </c>
      <c r="M152">
        <v>0</v>
      </c>
      <c r="N152">
        <v>0</v>
      </c>
      <c r="O152">
        <v>0</v>
      </c>
      <c r="P152">
        <v>28.8</v>
      </c>
      <c r="Q152">
        <v>114</v>
      </c>
      <c r="R152">
        <v>114</v>
      </c>
      <c r="S152">
        <v>3</v>
      </c>
      <c r="T152">
        <v>0</v>
      </c>
      <c r="U152" s="1">
        <v>0</v>
      </c>
      <c r="V152">
        <v>145.8</v>
      </c>
    </row>
    <row r="153" spans="1:22" ht="15">
      <c r="A153" s="4">
        <v>146</v>
      </c>
      <c r="B153">
        <v>1605</v>
      </c>
      <c r="C153" t="s">
        <v>424</v>
      </c>
      <c r="D153" t="s">
        <v>160</v>
      </c>
      <c r="E153" t="s">
        <v>41</v>
      </c>
      <c r="F153" t="s">
        <v>425</v>
      </c>
      <c r="G153" t="str">
        <f>"00442284"</f>
        <v>00442284</v>
      </c>
      <c r="H153">
        <v>28.8</v>
      </c>
      <c r="I153">
        <v>10</v>
      </c>
      <c r="M153">
        <v>4</v>
      </c>
      <c r="N153">
        <v>0</v>
      </c>
      <c r="O153">
        <v>2</v>
      </c>
      <c r="P153">
        <v>44.8</v>
      </c>
      <c r="Q153">
        <v>101</v>
      </c>
      <c r="R153">
        <v>101</v>
      </c>
      <c r="S153">
        <v>0</v>
      </c>
      <c r="T153">
        <v>0</v>
      </c>
      <c r="U153" s="1">
        <v>0</v>
      </c>
      <c r="V153">
        <v>145.8</v>
      </c>
    </row>
    <row r="154" spans="1:22" ht="15">
      <c r="A154" s="4">
        <v>147</v>
      </c>
      <c r="B154">
        <v>1901</v>
      </c>
      <c r="C154" t="s">
        <v>426</v>
      </c>
      <c r="D154" t="s">
        <v>427</v>
      </c>
      <c r="E154" t="s">
        <v>428</v>
      </c>
      <c r="F154" t="s">
        <v>429</v>
      </c>
      <c r="G154" t="str">
        <f>"00162118"</f>
        <v>00162118</v>
      </c>
      <c r="H154">
        <v>39.56</v>
      </c>
      <c r="I154">
        <v>0</v>
      </c>
      <c r="M154">
        <v>4</v>
      </c>
      <c r="N154">
        <v>0</v>
      </c>
      <c r="O154">
        <v>0</v>
      </c>
      <c r="P154">
        <v>43.56</v>
      </c>
      <c r="Q154">
        <v>99</v>
      </c>
      <c r="R154">
        <v>99</v>
      </c>
      <c r="S154">
        <v>3</v>
      </c>
      <c r="T154">
        <v>0</v>
      </c>
      <c r="U154" s="1">
        <v>0</v>
      </c>
      <c r="V154">
        <v>145.56</v>
      </c>
    </row>
    <row r="155" spans="1:22" ht="15">
      <c r="A155" s="4">
        <v>148</v>
      </c>
      <c r="B155">
        <v>958</v>
      </c>
      <c r="C155" t="s">
        <v>430</v>
      </c>
      <c r="D155" t="s">
        <v>40</v>
      </c>
      <c r="E155" t="s">
        <v>11</v>
      </c>
      <c r="F155" t="s">
        <v>431</v>
      </c>
      <c r="G155" t="str">
        <f>"00127004"</f>
        <v>00127004</v>
      </c>
      <c r="H155">
        <v>34.48</v>
      </c>
      <c r="I155">
        <v>0</v>
      </c>
      <c r="M155">
        <v>4</v>
      </c>
      <c r="N155">
        <v>0</v>
      </c>
      <c r="O155">
        <v>2</v>
      </c>
      <c r="P155">
        <v>40.48</v>
      </c>
      <c r="Q155">
        <v>96</v>
      </c>
      <c r="R155">
        <v>96</v>
      </c>
      <c r="S155">
        <v>9</v>
      </c>
      <c r="T155">
        <v>0</v>
      </c>
      <c r="U155" s="1">
        <v>0</v>
      </c>
      <c r="V155">
        <v>145.48</v>
      </c>
    </row>
    <row r="156" spans="1:22" ht="15">
      <c r="A156" s="4">
        <v>149</v>
      </c>
      <c r="B156">
        <v>2401</v>
      </c>
      <c r="C156" t="s">
        <v>432</v>
      </c>
      <c r="D156" t="s">
        <v>14</v>
      </c>
      <c r="E156" t="s">
        <v>86</v>
      </c>
      <c r="F156" t="s">
        <v>433</v>
      </c>
      <c r="G156" t="str">
        <f>"00531939"</f>
        <v>00531939</v>
      </c>
      <c r="H156">
        <v>43.2</v>
      </c>
      <c r="I156">
        <v>10</v>
      </c>
      <c r="M156">
        <v>4</v>
      </c>
      <c r="N156">
        <v>0</v>
      </c>
      <c r="O156">
        <v>0</v>
      </c>
      <c r="P156">
        <v>57.2</v>
      </c>
      <c r="Q156">
        <v>58</v>
      </c>
      <c r="R156">
        <v>58</v>
      </c>
      <c r="S156">
        <v>3</v>
      </c>
      <c r="T156">
        <v>26.8</v>
      </c>
      <c r="U156" s="1">
        <v>0</v>
      </c>
      <c r="V156">
        <v>145</v>
      </c>
    </row>
    <row r="157" spans="1:22" ht="15">
      <c r="A157" s="4">
        <v>150</v>
      </c>
      <c r="B157">
        <v>2660</v>
      </c>
      <c r="C157" t="s">
        <v>434</v>
      </c>
      <c r="D157" t="s">
        <v>82</v>
      </c>
      <c r="E157" t="s">
        <v>157</v>
      </c>
      <c r="F157" t="s">
        <v>435</v>
      </c>
      <c r="G157" t="str">
        <f>"00531815"</f>
        <v>00531815</v>
      </c>
      <c r="H157">
        <v>36</v>
      </c>
      <c r="I157">
        <v>0</v>
      </c>
      <c r="K157">
        <v>6</v>
      </c>
      <c r="M157">
        <v>4</v>
      </c>
      <c r="N157">
        <v>6</v>
      </c>
      <c r="O157">
        <v>0</v>
      </c>
      <c r="P157">
        <v>46</v>
      </c>
      <c r="Q157">
        <v>93</v>
      </c>
      <c r="R157">
        <v>93</v>
      </c>
      <c r="S157">
        <v>6</v>
      </c>
      <c r="T157">
        <v>0</v>
      </c>
      <c r="U157" s="1">
        <v>0</v>
      </c>
      <c r="V157">
        <v>145</v>
      </c>
    </row>
    <row r="158" spans="1:22" ht="15">
      <c r="A158" s="4">
        <v>151</v>
      </c>
      <c r="B158">
        <v>2034</v>
      </c>
      <c r="C158" t="s">
        <v>436</v>
      </c>
      <c r="D158" t="s">
        <v>14</v>
      </c>
      <c r="E158" t="s">
        <v>73</v>
      </c>
      <c r="F158" t="s">
        <v>437</v>
      </c>
      <c r="G158" t="str">
        <f>"00441878"</f>
        <v>00441878</v>
      </c>
      <c r="H158">
        <v>57.6</v>
      </c>
      <c r="I158">
        <v>10</v>
      </c>
      <c r="M158">
        <v>4</v>
      </c>
      <c r="N158">
        <v>0</v>
      </c>
      <c r="O158">
        <v>0</v>
      </c>
      <c r="P158">
        <v>71.6</v>
      </c>
      <c r="Q158">
        <v>70</v>
      </c>
      <c r="R158">
        <v>70</v>
      </c>
      <c r="S158">
        <v>3</v>
      </c>
      <c r="T158">
        <v>0</v>
      </c>
      <c r="U158" s="1">
        <v>0</v>
      </c>
      <c r="V158">
        <v>144.6</v>
      </c>
    </row>
    <row r="159" spans="1:22" ht="15">
      <c r="A159" s="4">
        <v>152</v>
      </c>
      <c r="B159">
        <v>2183</v>
      </c>
      <c r="C159" t="s">
        <v>438</v>
      </c>
      <c r="D159" t="s">
        <v>439</v>
      </c>
      <c r="E159" t="s">
        <v>440</v>
      </c>
      <c r="F159" t="s">
        <v>441</v>
      </c>
      <c r="G159" t="str">
        <f>"00157760"</f>
        <v>00157760</v>
      </c>
      <c r="H159">
        <v>21.6</v>
      </c>
      <c r="I159">
        <v>0</v>
      </c>
      <c r="L159">
        <v>4</v>
      </c>
      <c r="M159">
        <v>4</v>
      </c>
      <c r="N159">
        <v>4</v>
      </c>
      <c r="O159">
        <v>0</v>
      </c>
      <c r="P159">
        <v>29.6</v>
      </c>
      <c r="Q159">
        <v>109</v>
      </c>
      <c r="R159">
        <v>109</v>
      </c>
      <c r="S159">
        <v>6</v>
      </c>
      <c r="T159">
        <v>0</v>
      </c>
      <c r="U159" s="1">
        <v>0</v>
      </c>
      <c r="V159">
        <v>144.6</v>
      </c>
    </row>
    <row r="160" spans="1:22" ht="15">
      <c r="A160" s="4">
        <v>153</v>
      </c>
      <c r="B160">
        <v>193</v>
      </c>
      <c r="C160" t="s">
        <v>442</v>
      </c>
      <c r="D160" t="s">
        <v>124</v>
      </c>
      <c r="E160" t="s">
        <v>23</v>
      </c>
      <c r="F160" t="s">
        <v>443</v>
      </c>
      <c r="G160" t="str">
        <f>"00517005"</f>
        <v>00517005</v>
      </c>
      <c r="H160">
        <v>30.2</v>
      </c>
      <c r="I160">
        <v>0</v>
      </c>
      <c r="M160">
        <v>0</v>
      </c>
      <c r="N160">
        <v>0</v>
      </c>
      <c r="O160">
        <v>0</v>
      </c>
      <c r="P160">
        <v>30.2</v>
      </c>
      <c r="Q160">
        <v>114</v>
      </c>
      <c r="R160">
        <v>114</v>
      </c>
      <c r="S160">
        <v>0</v>
      </c>
      <c r="T160">
        <v>0</v>
      </c>
      <c r="U160" s="1">
        <v>0</v>
      </c>
      <c r="V160">
        <v>144.2</v>
      </c>
    </row>
    <row r="161" spans="1:22" ht="15">
      <c r="A161" s="4">
        <v>154</v>
      </c>
      <c r="B161">
        <v>1124</v>
      </c>
      <c r="C161" t="s">
        <v>444</v>
      </c>
      <c r="D161" t="s">
        <v>102</v>
      </c>
      <c r="E161" t="s">
        <v>112</v>
      </c>
      <c r="F161" t="s">
        <v>445</v>
      </c>
      <c r="G161" t="str">
        <f>"00471931"</f>
        <v>00471931</v>
      </c>
      <c r="H161">
        <v>37.08</v>
      </c>
      <c r="I161">
        <v>0</v>
      </c>
      <c r="L161">
        <v>4</v>
      </c>
      <c r="M161">
        <v>4</v>
      </c>
      <c r="N161">
        <v>4</v>
      </c>
      <c r="O161">
        <v>0</v>
      </c>
      <c r="P161">
        <v>45.08</v>
      </c>
      <c r="Q161">
        <v>99</v>
      </c>
      <c r="R161">
        <v>99</v>
      </c>
      <c r="S161">
        <v>0</v>
      </c>
      <c r="T161">
        <v>0</v>
      </c>
      <c r="U161" s="1">
        <v>0</v>
      </c>
      <c r="V161">
        <v>144.08</v>
      </c>
    </row>
    <row r="162" spans="1:22" ht="15">
      <c r="A162" s="4">
        <v>155</v>
      </c>
      <c r="B162">
        <v>126</v>
      </c>
      <c r="C162" t="s">
        <v>446</v>
      </c>
      <c r="D162" t="s">
        <v>58</v>
      </c>
      <c r="E162" t="s">
        <v>447</v>
      </c>
      <c r="F162" t="s">
        <v>448</v>
      </c>
      <c r="G162" t="str">
        <f>"200802001371"</f>
        <v>200802001371</v>
      </c>
      <c r="H162">
        <v>72</v>
      </c>
      <c r="I162">
        <v>0</v>
      </c>
      <c r="J162">
        <v>8</v>
      </c>
      <c r="L162">
        <v>4</v>
      </c>
      <c r="M162">
        <v>4</v>
      </c>
      <c r="N162">
        <v>12</v>
      </c>
      <c r="O162">
        <v>2</v>
      </c>
      <c r="P162">
        <v>90</v>
      </c>
      <c r="Q162">
        <v>51</v>
      </c>
      <c r="R162">
        <v>51</v>
      </c>
      <c r="S162">
        <v>3</v>
      </c>
      <c r="T162">
        <v>0</v>
      </c>
      <c r="U162" s="1">
        <v>0</v>
      </c>
      <c r="V162">
        <v>144</v>
      </c>
    </row>
    <row r="163" spans="1:22" ht="15">
      <c r="A163" s="4">
        <v>156</v>
      </c>
      <c r="B163">
        <v>530</v>
      </c>
      <c r="C163" t="s">
        <v>449</v>
      </c>
      <c r="D163" t="s">
        <v>14</v>
      </c>
      <c r="E163" t="s">
        <v>450</v>
      </c>
      <c r="F163" t="s">
        <v>451</v>
      </c>
      <c r="G163" t="str">
        <f>"00484424"</f>
        <v>00484424</v>
      </c>
      <c r="H163">
        <v>64.8</v>
      </c>
      <c r="I163">
        <v>0</v>
      </c>
      <c r="M163">
        <v>4</v>
      </c>
      <c r="N163">
        <v>0</v>
      </c>
      <c r="O163">
        <v>0</v>
      </c>
      <c r="P163">
        <v>68.8</v>
      </c>
      <c r="Q163">
        <v>69</v>
      </c>
      <c r="R163">
        <v>69</v>
      </c>
      <c r="S163">
        <v>6</v>
      </c>
      <c r="T163">
        <v>0</v>
      </c>
      <c r="U163" s="1">
        <v>0</v>
      </c>
      <c r="V163">
        <v>143.8</v>
      </c>
    </row>
    <row r="164" spans="1:22" ht="15">
      <c r="A164" s="4">
        <v>157</v>
      </c>
      <c r="B164">
        <v>2992</v>
      </c>
      <c r="C164" t="s">
        <v>452</v>
      </c>
      <c r="D164" t="s">
        <v>453</v>
      </c>
      <c r="E164" t="s">
        <v>41</v>
      </c>
      <c r="F164" t="s">
        <v>454</v>
      </c>
      <c r="G164" t="str">
        <f>"00533413"</f>
        <v>00533413</v>
      </c>
      <c r="H164">
        <v>28.8</v>
      </c>
      <c r="I164">
        <v>10</v>
      </c>
      <c r="L164">
        <v>4</v>
      </c>
      <c r="M164">
        <v>4</v>
      </c>
      <c r="N164">
        <v>4</v>
      </c>
      <c r="O164">
        <v>0</v>
      </c>
      <c r="P164">
        <v>46.8</v>
      </c>
      <c r="Q164">
        <v>91</v>
      </c>
      <c r="R164">
        <v>91</v>
      </c>
      <c r="S164">
        <v>6</v>
      </c>
      <c r="T164">
        <v>0</v>
      </c>
      <c r="U164" s="1">
        <v>0</v>
      </c>
      <c r="V164">
        <v>143.8</v>
      </c>
    </row>
    <row r="165" spans="1:22" ht="15">
      <c r="A165" s="4">
        <v>158</v>
      </c>
      <c r="B165">
        <v>129</v>
      </c>
      <c r="C165" t="s">
        <v>455</v>
      </c>
      <c r="D165" t="s">
        <v>14</v>
      </c>
      <c r="E165" t="s">
        <v>30</v>
      </c>
      <c r="F165" t="s">
        <v>456</v>
      </c>
      <c r="G165" t="str">
        <f>"00492751"</f>
        <v>00492751</v>
      </c>
      <c r="H165">
        <v>64.8</v>
      </c>
      <c r="I165">
        <v>0</v>
      </c>
      <c r="L165">
        <v>4</v>
      </c>
      <c r="M165">
        <v>4</v>
      </c>
      <c r="N165">
        <v>4</v>
      </c>
      <c r="O165">
        <v>0</v>
      </c>
      <c r="P165">
        <v>72.8</v>
      </c>
      <c r="Q165">
        <v>68</v>
      </c>
      <c r="R165">
        <v>68</v>
      </c>
      <c r="S165">
        <v>3</v>
      </c>
      <c r="T165">
        <v>0</v>
      </c>
      <c r="U165" s="1">
        <v>0</v>
      </c>
      <c r="V165">
        <v>143.8</v>
      </c>
    </row>
    <row r="166" spans="1:22" ht="15">
      <c r="A166" s="4">
        <v>159</v>
      </c>
      <c r="B166">
        <v>3244</v>
      </c>
      <c r="C166" t="s">
        <v>457</v>
      </c>
      <c r="D166" t="s">
        <v>22</v>
      </c>
      <c r="E166" t="s">
        <v>59</v>
      </c>
      <c r="F166" t="s">
        <v>458</v>
      </c>
      <c r="G166" t="str">
        <f>"00153923"</f>
        <v>00153923</v>
      </c>
      <c r="H166">
        <v>21.6</v>
      </c>
      <c r="I166">
        <v>0</v>
      </c>
      <c r="M166">
        <v>4</v>
      </c>
      <c r="N166">
        <v>0</v>
      </c>
      <c r="O166">
        <v>0</v>
      </c>
      <c r="P166">
        <v>25.6</v>
      </c>
      <c r="Q166">
        <v>115</v>
      </c>
      <c r="R166">
        <v>115</v>
      </c>
      <c r="S166">
        <v>3</v>
      </c>
      <c r="T166">
        <v>0</v>
      </c>
      <c r="U166" s="1">
        <v>0</v>
      </c>
      <c r="V166">
        <v>143.6</v>
      </c>
    </row>
    <row r="167" spans="1:22" ht="15">
      <c r="A167" s="4">
        <v>160</v>
      </c>
      <c r="B167">
        <v>746</v>
      </c>
      <c r="C167" t="s">
        <v>459</v>
      </c>
      <c r="D167" t="s">
        <v>460</v>
      </c>
      <c r="E167" t="s">
        <v>15</v>
      </c>
      <c r="F167" t="s">
        <v>461</v>
      </c>
      <c r="G167" t="str">
        <f>"00480276"</f>
        <v>00480276</v>
      </c>
      <c r="H167">
        <v>39.56</v>
      </c>
      <c r="I167">
        <v>0</v>
      </c>
      <c r="K167">
        <v>6</v>
      </c>
      <c r="M167">
        <v>4</v>
      </c>
      <c r="N167">
        <v>6</v>
      </c>
      <c r="O167">
        <v>0</v>
      </c>
      <c r="P167">
        <v>49.56</v>
      </c>
      <c r="Q167">
        <v>53</v>
      </c>
      <c r="R167">
        <v>53</v>
      </c>
      <c r="S167">
        <v>9</v>
      </c>
      <c r="T167">
        <v>32</v>
      </c>
      <c r="U167" s="1">
        <v>0</v>
      </c>
      <c r="V167">
        <v>143.56</v>
      </c>
    </row>
    <row r="168" spans="1:22" ht="15">
      <c r="A168" s="4">
        <v>161</v>
      </c>
      <c r="B168">
        <v>2085</v>
      </c>
      <c r="C168" t="s">
        <v>462</v>
      </c>
      <c r="D168" t="s">
        <v>160</v>
      </c>
      <c r="E168" t="s">
        <v>83</v>
      </c>
      <c r="F168" t="s">
        <v>463</v>
      </c>
      <c r="G168" t="str">
        <f>"00498090"</f>
        <v>00498090</v>
      </c>
      <c r="H168">
        <v>37.32</v>
      </c>
      <c r="I168">
        <v>10</v>
      </c>
      <c r="K168">
        <v>6</v>
      </c>
      <c r="M168">
        <v>4</v>
      </c>
      <c r="N168">
        <v>6</v>
      </c>
      <c r="O168">
        <v>0</v>
      </c>
      <c r="P168">
        <v>57.32</v>
      </c>
      <c r="Q168">
        <v>86</v>
      </c>
      <c r="R168">
        <v>86</v>
      </c>
      <c r="S168">
        <v>0</v>
      </c>
      <c r="T168">
        <v>0</v>
      </c>
      <c r="U168" s="1">
        <v>0</v>
      </c>
      <c r="V168">
        <v>143.32</v>
      </c>
    </row>
    <row r="169" spans="1:22" ht="15">
      <c r="A169" s="4">
        <v>162</v>
      </c>
      <c r="B169">
        <v>1045</v>
      </c>
      <c r="C169" t="s">
        <v>464</v>
      </c>
      <c r="D169" t="s">
        <v>76</v>
      </c>
      <c r="E169" t="s">
        <v>112</v>
      </c>
      <c r="F169" t="s">
        <v>465</v>
      </c>
      <c r="G169" t="str">
        <f>"00515817"</f>
        <v>00515817</v>
      </c>
      <c r="H169">
        <v>43.2</v>
      </c>
      <c r="I169">
        <v>0</v>
      </c>
      <c r="M169">
        <v>4</v>
      </c>
      <c r="N169">
        <v>0</v>
      </c>
      <c r="O169">
        <v>0</v>
      </c>
      <c r="P169">
        <v>47.2</v>
      </c>
      <c r="Q169">
        <v>96</v>
      </c>
      <c r="R169">
        <v>96</v>
      </c>
      <c r="S169">
        <v>0</v>
      </c>
      <c r="T169">
        <v>0</v>
      </c>
      <c r="U169" s="1">
        <v>0</v>
      </c>
      <c r="V169">
        <v>143.2</v>
      </c>
    </row>
    <row r="170" spans="1:22" ht="15">
      <c r="A170" s="4">
        <v>163</v>
      </c>
      <c r="B170">
        <v>2299</v>
      </c>
      <c r="C170" t="s">
        <v>466</v>
      </c>
      <c r="D170" t="s">
        <v>467</v>
      </c>
      <c r="E170" t="s">
        <v>51</v>
      </c>
      <c r="F170" t="s">
        <v>468</v>
      </c>
      <c r="G170" t="str">
        <f>"00441845"</f>
        <v>00441845</v>
      </c>
      <c r="H170">
        <v>72</v>
      </c>
      <c r="I170">
        <v>0</v>
      </c>
      <c r="M170">
        <v>4</v>
      </c>
      <c r="N170">
        <v>0</v>
      </c>
      <c r="O170">
        <v>0</v>
      </c>
      <c r="P170">
        <v>76</v>
      </c>
      <c r="Q170">
        <v>67</v>
      </c>
      <c r="R170">
        <v>67</v>
      </c>
      <c r="S170">
        <v>0</v>
      </c>
      <c r="T170">
        <v>0</v>
      </c>
      <c r="U170" s="1">
        <v>0</v>
      </c>
      <c r="V170">
        <v>143</v>
      </c>
    </row>
    <row r="171" spans="1:22" ht="15">
      <c r="A171" s="4">
        <v>164</v>
      </c>
      <c r="B171">
        <v>177</v>
      </c>
      <c r="C171" t="s">
        <v>469</v>
      </c>
      <c r="D171" t="s">
        <v>89</v>
      </c>
      <c r="E171" t="s">
        <v>94</v>
      </c>
      <c r="F171" t="s">
        <v>470</v>
      </c>
      <c r="G171" t="str">
        <f>"201309000150"</f>
        <v>201309000150</v>
      </c>
      <c r="H171">
        <v>72</v>
      </c>
      <c r="I171">
        <v>0</v>
      </c>
      <c r="M171">
        <v>4</v>
      </c>
      <c r="N171">
        <v>0</v>
      </c>
      <c r="O171">
        <v>0</v>
      </c>
      <c r="P171">
        <v>76</v>
      </c>
      <c r="Q171">
        <v>67</v>
      </c>
      <c r="R171">
        <v>67</v>
      </c>
      <c r="S171">
        <v>0</v>
      </c>
      <c r="T171">
        <v>0</v>
      </c>
      <c r="U171" s="1">
        <v>0</v>
      </c>
      <c r="V171">
        <v>143</v>
      </c>
    </row>
    <row r="172" spans="1:22" ht="15">
      <c r="A172" s="4">
        <v>165</v>
      </c>
      <c r="B172">
        <v>1781</v>
      </c>
      <c r="C172" t="s">
        <v>471</v>
      </c>
      <c r="D172" t="s">
        <v>472</v>
      </c>
      <c r="E172" t="s">
        <v>90</v>
      </c>
      <c r="F172" t="s">
        <v>473</v>
      </c>
      <c r="G172" t="str">
        <f>"00510322"</f>
        <v>00510322</v>
      </c>
      <c r="H172">
        <v>14.4</v>
      </c>
      <c r="I172">
        <v>0</v>
      </c>
      <c r="L172">
        <v>4</v>
      </c>
      <c r="M172">
        <v>4</v>
      </c>
      <c r="N172">
        <v>4</v>
      </c>
      <c r="O172">
        <v>0</v>
      </c>
      <c r="P172">
        <v>22.4</v>
      </c>
      <c r="Q172">
        <v>120</v>
      </c>
      <c r="R172">
        <v>120</v>
      </c>
      <c r="S172">
        <v>0</v>
      </c>
      <c r="T172">
        <v>0</v>
      </c>
      <c r="U172" s="1">
        <v>0</v>
      </c>
      <c r="V172">
        <v>142.4</v>
      </c>
    </row>
    <row r="173" spans="1:22" ht="15">
      <c r="A173" s="4">
        <v>166</v>
      </c>
      <c r="B173">
        <v>2477</v>
      </c>
      <c r="C173" t="s">
        <v>474</v>
      </c>
      <c r="D173" t="s">
        <v>173</v>
      </c>
      <c r="E173" t="s">
        <v>15</v>
      </c>
      <c r="F173" t="s">
        <v>475</v>
      </c>
      <c r="G173" t="str">
        <f>"200712004566"</f>
        <v>200712004566</v>
      </c>
      <c r="H173">
        <v>14.4</v>
      </c>
      <c r="I173">
        <v>0</v>
      </c>
      <c r="L173">
        <v>4</v>
      </c>
      <c r="M173">
        <v>4</v>
      </c>
      <c r="N173">
        <v>4</v>
      </c>
      <c r="O173">
        <v>0</v>
      </c>
      <c r="P173">
        <v>22.4</v>
      </c>
      <c r="Q173">
        <v>120</v>
      </c>
      <c r="R173">
        <v>120</v>
      </c>
      <c r="S173">
        <v>0</v>
      </c>
      <c r="T173">
        <v>0</v>
      </c>
      <c r="U173" s="1">
        <v>0</v>
      </c>
      <c r="V173">
        <v>142.4</v>
      </c>
    </row>
    <row r="174" spans="1:22" ht="15">
      <c r="A174" s="4">
        <v>167</v>
      </c>
      <c r="B174">
        <v>1215</v>
      </c>
      <c r="C174" t="s">
        <v>476</v>
      </c>
      <c r="D174" t="s">
        <v>477</v>
      </c>
      <c r="E174" t="s">
        <v>11</v>
      </c>
      <c r="F174" t="s">
        <v>478</v>
      </c>
      <c r="G174" t="str">
        <f>"00442033"</f>
        <v>00442033</v>
      </c>
      <c r="H174">
        <v>32.28</v>
      </c>
      <c r="I174">
        <v>10</v>
      </c>
      <c r="L174">
        <v>4</v>
      </c>
      <c r="M174">
        <v>0</v>
      </c>
      <c r="N174">
        <v>4</v>
      </c>
      <c r="O174">
        <v>0</v>
      </c>
      <c r="P174">
        <v>46.28</v>
      </c>
      <c r="Q174">
        <v>90</v>
      </c>
      <c r="R174">
        <v>90</v>
      </c>
      <c r="S174">
        <v>6</v>
      </c>
      <c r="T174">
        <v>0</v>
      </c>
      <c r="U174" s="1">
        <v>0</v>
      </c>
      <c r="V174">
        <v>142.28</v>
      </c>
    </row>
    <row r="175" spans="1:22" ht="15">
      <c r="A175" s="4">
        <v>168</v>
      </c>
      <c r="B175">
        <v>398</v>
      </c>
      <c r="C175" t="s">
        <v>479</v>
      </c>
      <c r="D175" t="s">
        <v>480</v>
      </c>
      <c r="E175" t="s">
        <v>19</v>
      </c>
      <c r="F175" t="s">
        <v>481</v>
      </c>
      <c r="G175" t="str">
        <f>"00162900"</f>
        <v>00162900</v>
      </c>
      <c r="H175">
        <v>43.2</v>
      </c>
      <c r="I175">
        <v>0</v>
      </c>
      <c r="M175">
        <v>4</v>
      </c>
      <c r="N175">
        <v>0</v>
      </c>
      <c r="O175">
        <v>2</v>
      </c>
      <c r="P175">
        <v>49.2</v>
      </c>
      <c r="Q175">
        <v>93</v>
      </c>
      <c r="R175">
        <v>93</v>
      </c>
      <c r="S175">
        <v>0</v>
      </c>
      <c r="T175">
        <v>0</v>
      </c>
      <c r="U175" s="1">
        <v>0</v>
      </c>
      <c r="V175">
        <v>142.2</v>
      </c>
    </row>
    <row r="176" spans="1:22" ht="15">
      <c r="A176" s="4">
        <v>169</v>
      </c>
      <c r="B176">
        <v>1438</v>
      </c>
      <c r="C176" t="s">
        <v>482</v>
      </c>
      <c r="D176" t="s">
        <v>127</v>
      </c>
      <c r="E176" t="s">
        <v>23</v>
      </c>
      <c r="F176" t="s">
        <v>483</v>
      </c>
      <c r="G176" t="str">
        <f>"00524831"</f>
        <v>00524831</v>
      </c>
      <c r="H176">
        <v>36</v>
      </c>
      <c r="I176">
        <v>0</v>
      </c>
      <c r="M176">
        <v>4</v>
      </c>
      <c r="N176">
        <v>0</v>
      </c>
      <c r="O176">
        <v>0</v>
      </c>
      <c r="P176">
        <v>40</v>
      </c>
      <c r="Q176">
        <v>93</v>
      </c>
      <c r="R176">
        <v>93</v>
      </c>
      <c r="S176">
        <v>9</v>
      </c>
      <c r="T176">
        <v>0</v>
      </c>
      <c r="U176" s="1">
        <v>0</v>
      </c>
      <c r="V176">
        <v>142</v>
      </c>
    </row>
    <row r="177" spans="1:22" ht="15">
      <c r="A177" s="4">
        <v>170</v>
      </c>
      <c r="B177">
        <v>2536</v>
      </c>
      <c r="C177" t="s">
        <v>484</v>
      </c>
      <c r="D177" t="s">
        <v>485</v>
      </c>
      <c r="E177" t="s">
        <v>11</v>
      </c>
      <c r="F177" t="s">
        <v>486</v>
      </c>
      <c r="G177" t="str">
        <f>"00530782"</f>
        <v>00530782</v>
      </c>
      <c r="H177">
        <v>40</v>
      </c>
      <c r="I177">
        <v>0</v>
      </c>
      <c r="M177">
        <v>0</v>
      </c>
      <c r="N177">
        <v>0</v>
      </c>
      <c r="O177">
        <v>0</v>
      </c>
      <c r="P177">
        <v>40</v>
      </c>
      <c r="Q177">
        <v>96</v>
      </c>
      <c r="R177">
        <v>96</v>
      </c>
      <c r="S177">
        <v>6</v>
      </c>
      <c r="T177">
        <v>0</v>
      </c>
      <c r="U177" s="1">
        <v>0</v>
      </c>
      <c r="V177">
        <v>142</v>
      </c>
    </row>
    <row r="178" spans="1:22" ht="15">
      <c r="A178" s="4">
        <v>171</v>
      </c>
      <c r="B178">
        <v>2355</v>
      </c>
      <c r="C178" t="s">
        <v>487</v>
      </c>
      <c r="D178" t="s">
        <v>156</v>
      </c>
      <c r="E178" t="s">
        <v>157</v>
      </c>
      <c r="F178" t="s">
        <v>488</v>
      </c>
      <c r="G178" t="str">
        <f>"00529981"</f>
        <v>00529981</v>
      </c>
      <c r="H178">
        <v>33.8</v>
      </c>
      <c r="I178">
        <v>10</v>
      </c>
      <c r="M178">
        <v>4</v>
      </c>
      <c r="N178">
        <v>0</v>
      </c>
      <c r="O178">
        <v>0</v>
      </c>
      <c r="P178">
        <v>47.8</v>
      </c>
      <c r="Q178">
        <v>94</v>
      </c>
      <c r="R178">
        <v>94</v>
      </c>
      <c r="S178">
        <v>0</v>
      </c>
      <c r="T178">
        <v>0</v>
      </c>
      <c r="U178" s="1">
        <v>0</v>
      </c>
      <c r="V178">
        <v>141.8</v>
      </c>
    </row>
    <row r="179" spans="1:22" ht="15">
      <c r="A179" s="4">
        <v>172</v>
      </c>
      <c r="B179">
        <v>1564</v>
      </c>
      <c r="C179" t="s">
        <v>489</v>
      </c>
      <c r="D179" t="s">
        <v>490</v>
      </c>
      <c r="E179" t="s">
        <v>186</v>
      </c>
      <c r="F179" t="s">
        <v>491</v>
      </c>
      <c r="G179" t="str">
        <f>"00509019"</f>
        <v>00509019</v>
      </c>
      <c r="H179">
        <v>38.68</v>
      </c>
      <c r="I179">
        <v>0</v>
      </c>
      <c r="L179">
        <v>4</v>
      </c>
      <c r="M179">
        <v>4</v>
      </c>
      <c r="N179">
        <v>4</v>
      </c>
      <c r="O179">
        <v>0</v>
      </c>
      <c r="P179">
        <v>46.68</v>
      </c>
      <c r="Q179">
        <v>89</v>
      </c>
      <c r="R179">
        <v>89</v>
      </c>
      <c r="S179">
        <v>6</v>
      </c>
      <c r="T179">
        <v>0</v>
      </c>
      <c r="U179" s="1">
        <v>0</v>
      </c>
      <c r="V179">
        <v>141.68</v>
      </c>
    </row>
    <row r="180" spans="1:22" ht="15">
      <c r="A180" s="4">
        <v>173</v>
      </c>
      <c r="B180">
        <v>106</v>
      </c>
      <c r="C180" t="s">
        <v>492</v>
      </c>
      <c r="D180" t="s">
        <v>493</v>
      </c>
      <c r="E180" t="s">
        <v>30</v>
      </c>
      <c r="F180" t="s">
        <v>494</v>
      </c>
      <c r="G180" t="str">
        <f>"00148572"</f>
        <v>00148572</v>
      </c>
      <c r="H180">
        <v>21.6</v>
      </c>
      <c r="I180">
        <v>0</v>
      </c>
      <c r="M180">
        <v>0</v>
      </c>
      <c r="N180">
        <v>0</v>
      </c>
      <c r="O180">
        <v>0</v>
      </c>
      <c r="P180">
        <v>21.6</v>
      </c>
      <c r="Q180">
        <v>120</v>
      </c>
      <c r="R180">
        <v>120</v>
      </c>
      <c r="S180">
        <v>0</v>
      </c>
      <c r="T180">
        <v>0</v>
      </c>
      <c r="U180" s="1">
        <v>0</v>
      </c>
      <c r="V180">
        <v>141.6</v>
      </c>
    </row>
    <row r="181" spans="1:22" ht="15">
      <c r="A181" s="4">
        <v>174</v>
      </c>
      <c r="B181">
        <v>395</v>
      </c>
      <c r="C181" t="s">
        <v>495</v>
      </c>
      <c r="D181" t="s">
        <v>496</v>
      </c>
      <c r="E181" t="s">
        <v>11</v>
      </c>
      <c r="F181" t="s">
        <v>497</v>
      </c>
      <c r="G181" t="str">
        <f>"00504517"</f>
        <v>00504517</v>
      </c>
      <c r="H181">
        <v>43.2</v>
      </c>
      <c r="I181">
        <v>0</v>
      </c>
      <c r="M181">
        <v>4</v>
      </c>
      <c r="N181">
        <v>0</v>
      </c>
      <c r="O181">
        <v>0</v>
      </c>
      <c r="P181">
        <v>47.2</v>
      </c>
      <c r="Q181">
        <v>88</v>
      </c>
      <c r="R181">
        <v>88</v>
      </c>
      <c r="S181">
        <v>6</v>
      </c>
      <c r="T181">
        <v>0</v>
      </c>
      <c r="U181" s="1">
        <v>0</v>
      </c>
      <c r="V181">
        <v>141.2</v>
      </c>
    </row>
    <row r="182" spans="1:22" ht="15">
      <c r="A182" s="4">
        <v>175</v>
      </c>
      <c r="B182">
        <v>1078</v>
      </c>
      <c r="C182" t="s">
        <v>498</v>
      </c>
      <c r="D182" t="s">
        <v>68</v>
      </c>
      <c r="E182" t="s">
        <v>499</v>
      </c>
      <c r="F182" t="s">
        <v>500</v>
      </c>
      <c r="G182" t="str">
        <f>"00511031"</f>
        <v>00511031</v>
      </c>
      <c r="H182">
        <v>7.2</v>
      </c>
      <c r="I182">
        <v>0</v>
      </c>
      <c r="L182">
        <v>4</v>
      </c>
      <c r="M182">
        <v>4</v>
      </c>
      <c r="N182">
        <v>4</v>
      </c>
      <c r="O182">
        <v>0</v>
      </c>
      <c r="P182">
        <v>15.2</v>
      </c>
      <c r="Q182">
        <v>120</v>
      </c>
      <c r="R182">
        <v>120</v>
      </c>
      <c r="S182">
        <v>6</v>
      </c>
      <c r="T182">
        <v>0</v>
      </c>
      <c r="U182" s="1">
        <v>0</v>
      </c>
      <c r="V182">
        <v>141.2</v>
      </c>
    </row>
    <row r="183" spans="1:22" ht="15">
      <c r="A183" s="4">
        <v>176</v>
      </c>
      <c r="B183">
        <v>3366</v>
      </c>
      <c r="C183" t="s">
        <v>501</v>
      </c>
      <c r="D183" t="s">
        <v>502</v>
      </c>
      <c r="E183" t="s">
        <v>503</v>
      </c>
      <c r="F183" t="s">
        <v>504</v>
      </c>
      <c r="G183" t="str">
        <f>"00500675"</f>
        <v>00500675</v>
      </c>
      <c r="H183">
        <v>28</v>
      </c>
      <c r="I183">
        <v>0</v>
      </c>
      <c r="M183">
        <v>4</v>
      </c>
      <c r="N183">
        <v>0</v>
      </c>
      <c r="O183">
        <v>0</v>
      </c>
      <c r="P183">
        <v>32</v>
      </c>
      <c r="Q183">
        <v>109</v>
      </c>
      <c r="R183">
        <v>109</v>
      </c>
      <c r="S183">
        <v>0</v>
      </c>
      <c r="T183">
        <v>0</v>
      </c>
      <c r="U183" s="1">
        <v>0</v>
      </c>
      <c r="V183">
        <v>141</v>
      </c>
    </row>
    <row r="184" spans="1:22" ht="15">
      <c r="A184" s="4">
        <v>177</v>
      </c>
      <c r="B184">
        <v>2833</v>
      </c>
      <c r="C184" t="s">
        <v>505</v>
      </c>
      <c r="D184" t="s">
        <v>170</v>
      </c>
      <c r="E184" t="s">
        <v>197</v>
      </c>
      <c r="F184" t="s">
        <v>506</v>
      </c>
      <c r="G184" t="str">
        <f>"00533220"</f>
        <v>00533220</v>
      </c>
      <c r="H184">
        <v>36</v>
      </c>
      <c r="I184">
        <v>0</v>
      </c>
      <c r="L184">
        <v>4</v>
      </c>
      <c r="M184">
        <v>4</v>
      </c>
      <c r="N184">
        <v>4</v>
      </c>
      <c r="O184">
        <v>0</v>
      </c>
      <c r="P184">
        <v>44</v>
      </c>
      <c r="Q184">
        <v>94</v>
      </c>
      <c r="R184">
        <v>94</v>
      </c>
      <c r="S184">
        <v>3</v>
      </c>
      <c r="T184">
        <v>0</v>
      </c>
      <c r="U184" s="1">
        <v>0</v>
      </c>
      <c r="V184">
        <v>141</v>
      </c>
    </row>
    <row r="185" spans="1:22" ht="15">
      <c r="A185" s="4">
        <v>178</v>
      </c>
      <c r="B185">
        <v>1631</v>
      </c>
      <c r="C185" t="s">
        <v>507</v>
      </c>
      <c r="D185" t="s">
        <v>222</v>
      </c>
      <c r="E185" t="s">
        <v>508</v>
      </c>
      <c r="F185" t="s">
        <v>509</v>
      </c>
      <c r="G185" t="str">
        <f>"00515557"</f>
        <v>00515557</v>
      </c>
      <c r="H185">
        <v>19.72</v>
      </c>
      <c r="I185">
        <v>0</v>
      </c>
      <c r="M185">
        <v>0</v>
      </c>
      <c r="N185">
        <v>0</v>
      </c>
      <c r="O185">
        <v>0</v>
      </c>
      <c r="P185">
        <v>19.72</v>
      </c>
      <c r="Q185">
        <v>115</v>
      </c>
      <c r="R185">
        <v>115</v>
      </c>
      <c r="S185">
        <v>6</v>
      </c>
      <c r="T185">
        <v>0</v>
      </c>
      <c r="U185" s="1">
        <v>0</v>
      </c>
      <c r="V185">
        <v>140.72</v>
      </c>
    </row>
    <row r="186" spans="1:22" ht="15">
      <c r="A186" s="4">
        <v>179</v>
      </c>
      <c r="B186">
        <v>2000</v>
      </c>
      <c r="C186" t="s">
        <v>510</v>
      </c>
      <c r="D186" t="s">
        <v>511</v>
      </c>
      <c r="E186" t="s">
        <v>73</v>
      </c>
      <c r="F186" t="s">
        <v>512</v>
      </c>
      <c r="G186" t="str">
        <f>"00482246"</f>
        <v>00482246</v>
      </c>
      <c r="H186">
        <v>32.28</v>
      </c>
      <c r="I186">
        <v>10</v>
      </c>
      <c r="M186">
        <v>0</v>
      </c>
      <c r="N186">
        <v>0</v>
      </c>
      <c r="O186">
        <v>2</v>
      </c>
      <c r="P186">
        <v>44.28</v>
      </c>
      <c r="Q186">
        <v>52</v>
      </c>
      <c r="R186">
        <v>52</v>
      </c>
      <c r="S186">
        <v>6</v>
      </c>
      <c r="T186">
        <v>38.4</v>
      </c>
      <c r="U186" s="1">
        <v>0</v>
      </c>
      <c r="V186">
        <v>140.68</v>
      </c>
    </row>
    <row r="187" spans="1:22" ht="15">
      <c r="A187" s="4">
        <v>180</v>
      </c>
      <c r="B187">
        <v>1566</v>
      </c>
      <c r="C187" t="s">
        <v>513</v>
      </c>
      <c r="D187" t="s">
        <v>89</v>
      </c>
      <c r="E187" t="s">
        <v>514</v>
      </c>
      <c r="F187" t="s">
        <v>515</v>
      </c>
      <c r="G187" t="str">
        <f>"00474602"</f>
        <v>00474602</v>
      </c>
      <c r="H187">
        <v>16.56</v>
      </c>
      <c r="I187">
        <v>10</v>
      </c>
      <c r="L187">
        <v>4</v>
      </c>
      <c r="M187">
        <v>4</v>
      </c>
      <c r="N187">
        <v>4</v>
      </c>
      <c r="O187">
        <v>0</v>
      </c>
      <c r="P187">
        <v>34.56</v>
      </c>
      <c r="Q187">
        <v>100</v>
      </c>
      <c r="R187">
        <v>100</v>
      </c>
      <c r="S187">
        <v>6</v>
      </c>
      <c r="T187">
        <v>0</v>
      </c>
      <c r="U187" s="1">
        <v>0</v>
      </c>
      <c r="V187">
        <v>140.56</v>
      </c>
    </row>
    <row r="188" spans="1:22" ht="15">
      <c r="A188" s="4">
        <v>181</v>
      </c>
      <c r="B188">
        <v>1333</v>
      </c>
      <c r="C188" t="s">
        <v>516</v>
      </c>
      <c r="D188" t="s">
        <v>40</v>
      </c>
      <c r="E188" t="s">
        <v>51</v>
      </c>
      <c r="F188" t="s">
        <v>517</v>
      </c>
      <c r="G188" t="str">
        <f>"00530105"</f>
        <v>00530105</v>
      </c>
      <c r="H188">
        <v>36</v>
      </c>
      <c r="I188">
        <v>10</v>
      </c>
      <c r="M188">
        <v>4</v>
      </c>
      <c r="N188">
        <v>0</v>
      </c>
      <c r="O188">
        <v>0</v>
      </c>
      <c r="P188">
        <v>50</v>
      </c>
      <c r="Q188">
        <v>90</v>
      </c>
      <c r="R188">
        <v>90</v>
      </c>
      <c r="S188">
        <v>0</v>
      </c>
      <c r="T188">
        <v>0</v>
      </c>
      <c r="U188" s="1">
        <v>0</v>
      </c>
      <c r="V188">
        <v>140</v>
      </c>
    </row>
    <row r="189" spans="1:22" ht="15">
      <c r="A189" s="4">
        <v>182</v>
      </c>
      <c r="B189">
        <v>2028</v>
      </c>
      <c r="C189" t="s">
        <v>518</v>
      </c>
      <c r="D189" t="s">
        <v>182</v>
      </c>
      <c r="E189" t="s">
        <v>260</v>
      </c>
      <c r="F189" t="s">
        <v>519</v>
      </c>
      <c r="G189" t="str">
        <f>"201511041664"</f>
        <v>201511041664</v>
      </c>
      <c r="H189">
        <v>36</v>
      </c>
      <c r="I189">
        <v>10</v>
      </c>
      <c r="M189">
        <v>4</v>
      </c>
      <c r="N189">
        <v>0</v>
      </c>
      <c r="O189">
        <v>0</v>
      </c>
      <c r="P189">
        <v>50</v>
      </c>
      <c r="Q189">
        <v>52</v>
      </c>
      <c r="R189">
        <v>52</v>
      </c>
      <c r="S189">
        <v>6</v>
      </c>
      <c r="T189">
        <v>32</v>
      </c>
      <c r="U189" s="1">
        <v>0</v>
      </c>
      <c r="V189">
        <v>140</v>
      </c>
    </row>
    <row r="190" spans="1:22" ht="15">
      <c r="A190" s="4">
        <v>183</v>
      </c>
      <c r="B190">
        <v>312</v>
      </c>
      <c r="C190" t="s">
        <v>520</v>
      </c>
      <c r="D190" t="s">
        <v>121</v>
      </c>
      <c r="E190" t="s">
        <v>90</v>
      </c>
      <c r="F190" t="s">
        <v>521</v>
      </c>
      <c r="G190" t="str">
        <f>"00441982"</f>
        <v>00441982</v>
      </c>
      <c r="H190">
        <v>64.8</v>
      </c>
      <c r="I190">
        <v>10</v>
      </c>
      <c r="M190">
        <v>4</v>
      </c>
      <c r="N190">
        <v>0</v>
      </c>
      <c r="O190">
        <v>0</v>
      </c>
      <c r="P190">
        <v>78.8</v>
      </c>
      <c r="Q190">
        <v>61</v>
      </c>
      <c r="R190">
        <v>61</v>
      </c>
      <c r="S190">
        <v>0</v>
      </c>
      <c r="T190">
        <v>0</v>
      </c>
      <c r="U190" s="1">
        <v>0</v>
      </c>
      <c r="V190">
        <v>139.8</v>
      </c>
    </row>
    <row r="191" spans="1:22" ht="15">
      <c r="A191" s="4">
        <v>184</v>
      </c>
      <c r="B191">
        <v>482</v>
      </c>
      <c r="C191" t="s">
        <v>522</v>
      </c>
      <c r="D191" t="s">
        <v>523</v>
      </c>
      <c r="E191" t="s">
        <v>69</v>
      </c>
      <c r="F191" t="s">
        <v>524</v>
      </c>
      <c r="G191" t="str">
        <f>"00476073"</f>
        <v>00476073</v>
      </c>
      <c r="H191">
        <v>21.6</v>
      </c>
      <c r="I191">
        <v>10</v>
      </c>
      <c r="M191">
        <v>4</v>
      </c>
      <c r="N191">
        <v>0</v>
      </c>
      <c r="O191">
        <v>2</v>
      </c>
      <c r="P191">
        <v>37.6</v>
      </c>
      <c r="Q191">
        <v>96</v>
      </c>
      <c r="R191">
        <v>96</v>
      </c>
      <c r="S191">
        <v>6</v>
      </c>
      <c r="T191">
        <v>0</v>
      </c>
      <c r="U191" s="1">
        <v>0</v>
      </c>
      <c r="V191">
        <v>139.6</v>
      </c>
    </row>
    <row r="192" spans="1:22" ht="15">
      <c r="A192" s="4">
        <v>185</v>
      </c>
      <c r="B192">
        <v>295</v>
      </c>
      <c r="C192" t="s">
        <v>525</v>
      </c>
      <c r="D192" t="s">
        <v>68</v>
      </c>
      <c r="E192" t="s">
        <v>19</v>
      </c>
      <c r="F192" t="s">
        <v>526</v>
      </c>
      <c r="G192" t="str">
        <f>"00482072"</f>
        <v>00482072</v>
      </c>
      <c r="H192">
        <v>28.56</v>
      </c>
      <c r="I192">
        <v>0</v>
      </c>
      <c r="M192">
        <v>4</v>
      </c>
      <c r="N192">
        <v>0</v>
      </c>
      <c r="O192">
        <v>0</v>
      </c>
      <c r="P192">
        <v>32.56</v>
      </c>
      <c r="Q192">
        <v>101</v>
      </c>
      <c r="R192">
        <v>101</v>
      </c>
      <c r="S192">
        <v>6</v>
      </c>
      <c r="T192">
        <v>0</v>
      </c>
      <c r="U192" s="1">
        <v>0</v>
      </c>
      <c r="V192">
        <v>139.56</v>
      </c>
    </row>
    <row r="193" spans="1:22" ht="15">
      <c r="A193" s="4">
        <v>186</v>
      </c>
      <c r="B193">
        <v>2837</v>
      </c>
      <c r="C193" t="s">
        <v>527</v>
      </c>
      <c r="D193" t="s">
        <v>89</v>
      </c>
      <c r="E193" t="s">
        <v>528</v>
      </c>
      <c r="F193" t="s">
        <v>529</v>
      </c>
      <c r="G193" t="str">
        <f>"00514130"</f>
        <v>00514130</v>
      </c>
      <c r="H193">
        <v>0</v>
      </c>
      <c r="I193">
        <v>0</v>
      </c>
      <c r="M193">
        <v>4</v>
      </c>
      <c r="N193">
        <v>0</v>
      </c>
      <c r="O193">
        <v>0</v>
      </c>
      <c r="P193">
        <v>4</v>
      </c>
      <c r="Q193">
        <v>102</v>
      </c>
      <c r="R193">
        <v>102</v>
      </c>
      <c r="S193">
        <v>6</v>
      </c>
      <c r="T193">
        <v>26.8</v>
      </c>
      <c r="U193" s="1">
        <v>0</v>
      </c>
      <c r="V193">
        <v>138.8</v>
      </c>
    </row>
    <row r="194" spans="1:22" ht="15">
      <c r="A194" s="4">
        <v>187</v>
      </c>
      <c r="B194">
        <v>2354</v>
      </c>
      <c r="C194" t="s">
        <v>530</v>
      </c>
      <c r="D194" t="s">
        <v>292</v>
      </c>
      <c r="E194" t="s">
        <v>531</v>
      </c>
      <c r="F194" t="s">
        <v>532</v>
      </c>
      <c r="G194" t="str">
        <f>"00508566"</f>
        <v>00508566</v>
      </c>
      <c r="H194">
        <v>64.8</v>
      </c>
      <c r="I194">
        <v>0</v>
      </c>
      <c r="L194">
        <v>4</v>
      </c>
      <c r="M194">
        <v>4</v>
      </c>
      <c r="N194">
        <v>4</v>
      </c>
      <c r="O194">
        <v>0</v>
      </c>
      <c r="P194">
        <v>72.8</v>
      </c>
      <c r="Q194">
        <v>66</v>
      </c>
      <c r="R194">
        <v>66</v>
      </c>
      <c r="S194">
        <v>0</v>
      </c>
      <c r="T194">
        <v>0</v>
      </c>
      <c r="U194" s="1">
        <v>0</v>
      </c>
      <c r="V194">
        <v>138.8</v>
      </c>
    </row>
    <row r="195" spans="1:22" ht="15">
      <c r="A195" s="4">
        <v>188</v>
      </c>
      <c r="B195">
        <v>2719</v>
      </c>
      <c r="C195" t="s">
        <v>533</v>
      </c>
      <c r="D195" t="s">
        <v>82</v>
      </c>
      <c r="E195" t="s">
        <v>41</v>
      </c>
      <c r="F195" t="s">
        <v>534</v>
      </c>
      <c r="G195" t="str">
        <f>"00531498"</f>
        <v>00531498</v>
      </c>
      <c r="H195">
        <v>36.72</v>
      </c>
      <c r="I195">
        <v>10</v>
      </c>
      <c r="J195">
        <v>8</v>
      </c>
      <c r="M195">
        <v>4</v>
      </c>
      <c r="N195">
        <v>8</v>
      </c>
      <c r="O195">
        <v>0</v>
      </c>
      <c r="P195">
        <v>58.72</v>
      </c>
      <c r="Q195">
        <v>74</v>
      </c>
      <c r="R195">
        <v>74</v>
      </c>
      <c r="S195">
        <v>6</v>
      </c>
      <c r="T195">
        <v>0</v>
      </c>
      <c r="U195" s="1">
        <v>0</v>
      </c>
      <c r="V195">
        <v>138.72</v>
      </c>
    </row>
    <row r="196" spans="1:22" ht="15">
      <c r="A196" s="4">
        <v>189</v>
      </c>
      <c r="B196">
        <v>329</v>
      </c>
      <c r="C196" t="s">
        <v>535</v>
      </c>
      <c r="D196" t="s">
        <v>536</v>
      </c>
      <c r="E196" t="s">
        <v>30</v>
      </c>
      <c r="F196" t="s">
        <v>537</v>
      </c>
      <c r="G196" t="str">
        <f>"00461344"</f>
        <v>00461344</v>
      </c>
      <c r="H196">
        <v>57.6</v>
      </c>
      <c r="I196">
        <v>10</v>
      </c>
      <c r="L196">
        <v>4</v>
      </c>
      <c r="M196">
        <v>0</v>
      </c>
      <c r="N196">
        <v>4</v>
      </c>
      <c r="O196">
        <v>0</v>
      </c>
      <c r="P196">
        <v>71.6</v>
      </c>
      <c r="Q196">
        <v>32</v>
      </c>
      <c r="R196">
        <v>32</v>
      </c>
      <c r="S196">
        <v>3</v>
      </c>
      <c r="T196">
        <v>32</v>
      </c>
      <c r="U196" s="1">
        <v>0</v>
      </c>
      <c r="V196">
        <v>138.6</v>
      </c>
    </row>
    <row r="197" spans="1:22" ht="15">
      <c r="A197" s="4">
        <v>190</v>
      </c>
      <c r="B197">
        <v>1630</v>
      </c>
      <c r="C197" t="s">
        <v>538</v>
      </c>
      <c r="D197" t="s">
        <v>26</v>
      </c>
      <c r="E197" t="s">
        <v>90</v>
      </c>
      <c r="F197" t="s">
        <v>539</v>
      </c>
      <c r="G197" t="str">
        <f>"00532396"</f>
        <v>00532396</v>
      </c>
      <c r="H197">
        <v>57.6</v>
      </c>
      <c r="I197">
        <v>0</v>
      </c>
      <c r="L197">
        <v>4</v>
      </c>
      <c r="M197">
        <v>0</v>
      </c>
      <c r="N197">
        <v>4</v>
      </c>
      <c r="O197">
        <v>0</v>
      </c>
      <c r="P197">
        <v>61.6</v>
      </c>
      <c r="Q197">
        <v>74</v>
      </c>
      <c r="R197">
        <v>74</v>
      </c>
      <c r="S197">
        <v>3</v>
      </c>
      <c r="T197">
        <v>0</v>
      </c>
      <c r="U197" s="1">
        <v>0</v>
      </c>
      <c r="V197">
        <v>138.6</v>
      </c>
    </row>
    <row r="198" spans="1:22" ht="15">
      <c r="A198" s="4">
        <v>191</v>
      </c>
      <c r="B198">
        <v>558</v>
      </c>
      <c r="C198" t="s">
        <v>540</v>
      </c>
      <c r="D198" t="s">
        <v>541</v>
      </c>
      <c r="E198" t="s">
        <v>19</v>
      </c>
      <c r="F198" t="s">
        <v>542</v>
      </c>
      <c r="G198" t="str">
        <f>"00483481"</f>
        <v>00483481</v>
      </c>
      <c r="H198">
        <v>31.52</v>
      </c>
      <c r="I198">
        <v>0</v>
      </c>
      <c r="L198">
        <v>4</v>
      </c>
      <c r="M198">
        <v>4</v>
      </c>
      <c r="N198">
        <v>4</v>
      </c>
      <c r="O198">
        <v>0</v>
      </c>
      <c r="P198">
        <v>39.52</v>
      </c>
      <c r="Q198">
        <v>93</v>
      </c>
      <c r="R198">
        <v>93</v>
      </c>
      <c r="S198">
        <v>6</v>
      </c>
      <c r="T198">
        <v>0</v>
      </c>
      <c r="U198" s="1">
        <v>0</v>
      </c>
      <c r="V198">
        <v>138.52</v>
      </c>
    </row>
    <row r="199" spans="1:22" ht="15">
      <c r="A199" s="4">
        <v>192</v>
      </c>
      <c r="B199">
        <v>665</v>
      </c>
      <c r="C199" t="s">
        <v>543</v>
      </c>
      <c r="D199" t="s">
        <v>14</v>
      </c>
      <c r="E199" t="s">
        <v>51</v>
      </c>
      <c r="F199" t="s">
        <v>544</v>
      </c>
      <c r="G199" t="str">
        <f>"00517494"</f>
        <v>00517494</v>
      </c>
      <c r="H199">
        <v>50.4</v>
      </c>
      <c r="I199">
        <v>0</v>
      </c>
      <c r="M199">
        <v>4</v>
      </c>
      <c r="N199">
        <v>0</v>
      </c>
      <c r="O199">
        <v>0</v>
      </c>
      <c r="P199">
        <v>54.4</v>
      </c>
      <c r="Q199">
        <v>78</v>
      </c>
      <c r="R199">
        <v>78</v>
      </c>
      <c r="S199">
        <v>6</v>
      </c>
      <c r="T199">
        <v>0</v>
      </c>
      <c r="U199" s="1">
        <v>0</v>
      </c>
      <c r="V199">
        <v>138.4</v>
      </c>
    </row>
    <row r="200" spans="1:22" ht="15">
      <c r="A200" s="4">
        <v>193</v>
      </c>
      <c r="B200">
        <v>950</v>
      </c>
      <c r="C200" t="s">
        <v>543</v>
      </c>
      <c r="D200" t="s">
        <v>545</v>
      </c>
      <c r="E200" t="s">
        <v>73</v>
      </c>
      <c r="F200" t="s">
        <v>546</v>
      </c>
      <c r="G200" t="str">
        <f>"00531025"</f>
        <v>00531025</v>
      </c>
      <c r="H200">
        <v>38.28</v>
      </c>
      <c r="I200">
        <v>10</v>
      </c>
      <c r="M200">
        <v>4</v>
      </c>
      <c r="N200">
        <v>0</v>
      </c>
      <c r="O200">
        <v>0</v>
      </c>
      <c r="P200">
        <v>52.28</v>
      </c>
      <c r="Q200">
        <v>77</v>
      </c>
      <c r="R200">
        <v>77</v>
      </c>
      <c r="S200">
        <v>9</v>
      </c>
      <c r="T200">
        <v>0</v>
      </c>
      <c r="U200" s="1">
        <v>0</v>
      </c>
      <c r="V200">
        <v>138.28</v>
      </c>
    </row>
    <row r="201" spans="1:22" ht="15">
      <c r="A201" s="4">
        <v>194</v>
      </c>
      <c r="B201">
        <v>1856</v>
      </c>
      <c r="C201" t="s">
        <v>547</v>
      </c>
      <c r="D201" t="s">
        <v>157</v>
      </c>
      <c r="E201" t="s">
        <v>19</v>
      </c>
      <c r="F201" t="s">
        <v>548</v>
      </c>
      <c r="G201" t="str">
        <f>"00254022"</f>
        <v>00254022</v>
      </c>
      <c r="H201">
        <v>43.2</v>
      </c>
      <c r="I201">
        <v>10</v>
      </c>
      <c r="L201">
        <v>4</v>
      </c>
      <c r="M201">
        <v>4</v>
      </c>
      <c r="N201">
        <v>4</v>
      </c>
      <c r="O201">
        <v>0</v>
      </c>
      <c r="P201">
        <v>61.2</v>
      </c>
      <c r="Q201">
        <v>77</v>
      </c>
      <c r="R201">
        <v>77</v>
      </c>
      <c r="S201">
        <v>0</v>
      </c>
      <c r="T201">
        <v>0</v>
      </c>
      <c r="U201" s="1">
        <v>0</v>
      </c>
      <c r="V201">
        <v>138.2</v>
      </c>
    </row>
    <row r="202" spans="1:22" ht="15">
      <c r="A202" s="4">
        <v>195</v>
      </c>
      <c r="B202">
        <v>287</v>
      </c>
      <c r="C202" t="s">
        <v>549</v>
      </c>
      <c r="D202" t="s">
        <v>273</v>
      </c>
      <c r="E202" t="s">
        <v>30</v>
      </c>
      <c r="F202" t="s">
        <v>550</v>
      </c>
      <c r="G202" t="str">
        <f>"00508676"</f>
        <v>00508676</v>
      </c>
      <c r="H202">
        <v>31.12</v>
      </c>
      <c r="I202">
        <v>0</v>
      </c>
      <c r="M202">
        <v>4</v>
      </c>
      <c r="N202">
        <v>0</v>
      </c>
      <c r="O202">
        <v>0</v>
      </c>
      <c r="P202">
        <v>35.12</v>
      </c>
      <c r="Q202">
        <v>100</v>
      </c>
      <c r="R202">
        <v>100</v>
      </c>
      <c r="S202">
        <v>3</v>
      </c>
      <c r="T202">
        <v>0</v>
      </c>
      <c r="U202" s="1">
        <v>0</v>
      </c>
      <c r="V202">
        <v>138.12</v>
      </c>
    </row>
    <row r="203" spans="1:22" ht="15">
      <c r="A203" s="4">
        <v>196</v>
      </c>
      <c r="B203">
        <v>2270</v>
      </c>
      <c r="C203" t="s">
        <v>551</v>
      </c>
      <c r="D203" t="s">
        <v>102</v>
      </c>
      <c r="E203" t="s">
        <v>19</v>
      </c>
      <c r="F203" t="s">
        <v>552</v>
      </c>
      <c r="G203" t="str">
        <f>"00441756"</f>
        <v>00441756</v>
      </c>
      <c r="H203">
        <v>32</v>
      </c>
      <c r="I203">
        <v>10</v>
      </c>
      <c r="M203">
        <v>4</v>
      </c>
      <c r="N203">
        <v>0</v>
      </c>
      <c r="O203">
        <v>0</v>
      </c>
      <c r="P203">
        <v>46</v>
      </c>
      <c r="Q203">
        <v>89</v>
      </c>
      <c r="R203">
        <v>89</v>
      </c>
      <c r="S203">
        <v>3</v>
      </c>
      <c r="T203">
        <v>0</v>
      </c>
      <c r="U203" s="1">
        <v>0</v>
      </c>
      <c r="V203">
        <v>138</v>
      </c>
    </row>
    <row r="204" spans="1:22" ht="15">
      <c r="A204" s="4">
        <v>197</v>
      </c>
      <c r="B204">
        <v>1778</v>
      </c>
      <c r="C204" t="s">
        <v>553</v>
      </c>
      <c r="D204" t="s">
        <v>511</v>
      </c>
      <c r="E204" t="s">
        <v>528</v>
      </c>
      <c r="F204" t="s">
        <v>554</v>
      </c>
      <c r="G204" t="str">
        <f>"00441530"</f>
        <v>00441530</v>
      </c>
      <c r="H204">
        <v>28.8</v>
      </c>
      <c r="I204">
        <v>0</v>
      </c>
      <c r="M204">
        <v>4</v>
      </c>
      <c r="N204">
        <v>0</v>
      </c>
      <c r="O204">
        <v>0</v>
      </c>
      <c r="P204">
        <v>32.8</v>
      </c>
      <c r="Q204">
        <v>105</v>
      </c>
      <c r="R204">
        <v>105</v>
      </c>
      <c r="S204">
        <v>0</v>
      </c>
      <c r="T204">
        <v>0</v>
      </c>
      <c r="U204" s="1">
        <v>0</v>
      </c>
      <c r="V204">
        <v>137.8</v>
      </c>
    </row>
    <row r="205" spans="1:22" ht="15">
      <c r="A205" s="4">
        <v>198</v>
      </c>
      <c r="B205">
        <v>3057</v>
      </c>
      <c r="C205" t="s">
        <v>555</v>
      </c>
      <c r="D205" t="s">
        <v>556</v>
      </c>
      <c r="E205" t="s">
        <v>557</v>
      </c>
      <c r="F205" t="s">
        <v>558</v>
      </c>
      <c r="G205" t="str">
        <f>"00441502"</f>
        <v>00441502</v>
      </c>
      <c r="H205">
        <v>14.4</v>
      </c>
      <c r="I205">
        <v>0</v>
      </c>
      <c r="M205">
        <v>4</v>
      </c>
      <c r="N205">
        <v>0</v>
      </c>
      <c r="O205">
        <v>0</v>
      </c>
      <c r="P205">
        <v>18.4</v>
      </c>
      <c r="Q205">
        <v>113</v>
      </c>
      <c r="R205">
        <v>113</v>
      </c>
      <c r="S205">
        <v>6</v>
      </c>
      <c r="T205">
        <v>0</v>
      </c>
      <c r="U205" s="1">
        <v>0</v>
      </c>
      <c r="V205">
        <v>137.4</v>
      </c>
    </row>
    <row r="206" spans="1:22" ht="15">
      <c r="A206" s="4">
        <v>199</v>
      </c>
      <c r="B206">
        <v>571</v>
      </c>
      <c r="C206" t="s">
        <v>559</v>
      </c>
      <c r="D206" t="s">
        <v>173</v>
      </c>
      <c r="E206" t="s">
        <v>19</v>
      </c>
      <c r="F206" t="s">
        <v>560</v>
      </c>
      <c r="G206" t="str">
        <f>"00483102"</f>
        <v>00483102</v>
      </c>
      <c r="H206">
        <v>31.4</v>
      </c>
      <c r="I206">
        <v>0</v>
      </c>
      <c r="M206">
        <v>4</v>
      </c>
      <c r="N206">
        <v>0</v>
      </c>
      <c r="O206">
        <v>0</v>
      </c>
      <c r="P206">
        <v>35.4</v>
      </c>
      <c r="Q206">
        <v>102</v>
      </c>
      <c r="R206">
        <v>102</v>
      </c>
      <c r="S206">
        <v>0</v>
      </c>
      <c r="T206">
        <v>0</v>
      </c>
      <c r="U206" s="1">
        <v>0</v>
      </c>
      <c r="V206">
        <v>137.4</v>
      </c>
    </row>
    <row r="207" spans="1:22" ht="15">
      <c r="A207" s="4">
        <v>200</v>
      </c>
      <c r="B207">
        <v>973</v>
      </c>
      <c r="C207" t="s">
        <v>561</v>
      </c>
      <c r="D207" t="s">
        <v>273</v>
      </c>
      <c r="E207" t="s">
        <v>65</v>
      </c>
      <c r="F207" t="s">
        <v>562</v>
      </c>
      <c r="G207" t="str">
        <f>"00163481"</f>
        <v>00163481</v>
      </c>
      <c r="H207">
        <v>50.4</v>
      </c>
      <c r="I207">
        <v>0</v>
      </c>
      <c r="L207">
        <v>4</v>
      </c>
      <c r="M207">
        <v>4</v>
      </c>
      <c r="N207">
        <v>4</v>
      </c>
      <c r="O207">
        <v>0</v>
      </c>
      <c r="P207">
        <v>58.4</v>
      </c>
      <c r="Q207">
        <v>79</v>
      </c>
      <c r="R207">
        <v>79</v>
      </c>
      <c r="S207">
        <v>0</v>
      </c>
      <c r="T207">
        <v>0</v>
      </c>
      <c r="U207" s="1">
        <v>0</v>
      </c>
      <c r="V207">
        <v>137.4</v>
      </c>
    </row>
    <row r="208" spans="1:22" ht="15">
      <c r="A208" s="4">
        <v>201</v>
      </c>
      <c r="B208">
        <v>1736</v>
      </c>
      <c r="C208" t="s">
        <v>563</v>
      </c>
      <c r="D208" t="s">
        <v>273</v>
      </c>
      <c r="E208" t="s">
        <v>15</v>
      </c>
      <c r="F208" t="s">
        <v>564</v>
      </c>
      <c r="G208" t="str">
        <f>"00513434"</f>
        <v>00513434</v>
      </c>
      <c r="H208">
        <v>28.8</v>
      </c>
      <c r="I208">
        <v>0</v>
      </c>
      <c r="M208">
        <v>4</v>
      </c>
      <c r="N208">
        <v>0</v>
      </c>
      <c r="O208">
        <v>0</v>
      </c>
      <c r="P208">
        <v>32.8</v>
      </c>
      <c r="Q208">
        <v>104</v>
      </c>
      <c r="R208">
        <v>104</v>
      </c>
      <c r="S208">
        <v>0</v>
      </c>
      <c r="T208">
        <v>0</v>
      </c>
      <c r="U208" s="1">
        <v>0</v>
      </c>
      <c r="V208">
        <v>136.8</v>
      </c>
    </row>
    <row r="209" spans="1:22" ht="15">
      <c r="A209" s="4">
        <v>202</v>
      </c>
      <c r="B209">
        <v>443</v>
      </c>
      <c r="C209" t="s">
        <v>565</v>
      </c>
      <c r="D209" t="s">
        <v>102</v>
      </c>
      <c r="E209" t="s">
        <v>23</v>
      </c>
      <c r="F209" t="s">
        <v>566</v>
      </c>
      <c r="G209" t="str">
        <f>"00442434"</f>
        <v>00442434</v>
      </c>
      <c r="H209">
        <v>28.8</v>
      </c>
      <c r="I209">
        <v>10</v>
      </c>
      <c r="M209">
        <v>4</v>
      </c>
      <c r="N209">
        <v>0</v>
      </c>
      <c r="O209">
        <v>0</v>
      </c>
      <c r="P209">
        <v>42.8</v>
      </c>
      <c r="Q209">
        <v>88</v>
      </c>
      <c r="R209">
        <v>88</v>
      </c>
      <c r="S209">
        <v>6</v>
      </c>
      <c r="T209">
        <v>0</v>
      </c>
      <c r="U209" s="1">
        <v>0</v>
      </c>
      <c r="V209">
        <v>136.8</v>
      </c>
    </row>
    <row r="210" spans="1:22" ht="15">
      <c r="A210" s="4">
        <v>203</v>
      </c>
      <c r="B210">
        <v>1067</v>
      </c>
      <c r="C210" t="s">
        <v>567</v>
      </c>
      <c r="D210" t="s">
        <v>568</v>
      </c>
      <c r="E210" t="s">
        <v>90</v>
      </c>
      <c r="F210" t="s">
        <v>569</v>
      </c>
      <c r="G210" t="str">
        <f>"00507086"</f>
        <v>00507086</v>
      </c>
      <c r="H210">
        <v>21.6</v>
      </c>
      <c r="I210">
        <v>0</v>
      </c>
      <c r="M210">
        <v>4</v>
      </c>
      <c r="N210">
        <v>0</v>
      </c>
      <c r="O210">
        <v>0</v>
      </c>
      <c r="P210">
        <v>25.6</v>
      </c>
      <c r="Q210">
        <v>111</v>
      </c>
      <c r="R210">
        <v>111</v>
      </c>
      <c r="S210">
        <v>0</v>
      </c>
      <c r="T210">
        <v>0</v>
      </c>
      <c r="U210" s="1">
        <v>0</v>
      </c>
      <c r="V210">
        <v>136.6</v>
      </c>
    </row>
    <row r="211" spans="1:22" ht="15">
      <c r="A211" s="4">
        <v>204</v>
      </c>
      <c r="B211">
        <v>2524</v>
      </c>
      <c r="C211" t="s">
        <v>570</v>
      </c>
      <c r="D211" t="s">
        <v>121</v>
      </c>
      <c r="E211" t="s">
        <v>403</v>
      </c>
      <c r="F211" t="s">
        <v>571</v>
      </c>
      <c r="G211" t="str">
        <f>"00531246"</f>
        <v>00531246</v>
      </c>
      <c r="H211">
        <v>57.6</v>
      </c>
      <c r="I211">
        <v>0</v>
      </c>
      <c r="M211">
        <v>0</v>
      </c>
      <c r="N211">
        <v>0</v>
      </c>
      <c r="O211">
        <v>0</v>
      </c>
      <c r="P211">
        <v>57.6</v>
      </c>
      <c r="Q211">
        <v>75</v>
      </c>
      <c r="R211">
        <v>75</v>
      </c>
      <c r="S211">
        <v>3</v>
      </c>
      <c r="T211">
        <v>0</v>
      </c>
      <c r="U211" s="1">
        <v>0</v>
      </c>
      <c r="V211">
        <v>135.6</v>
      </c>
    </row>
    <row r="212" spans="1:22" ht="15">
      <c r="A212" s="4">
        <v>205</v>
      </c>
      <c r="B212">
        <v>489</v>
      </c>
      <c r="C212" t="s">
        <v>572</v>
      </c>
      <c r="D212" t="s">
        <v>157</v>
      </c>
      <c r="E212" t="s">
        <v>30</v>
      </c>
      <c r="F212" t="s">
        <v>573</v>
      </c>
      <c r="G212" t="str">
        <f>"00506448"</f>
        <v>00506448</v>
      </c>
      <c r="H212">
        <v>57.6</v>
      </c>
      <c r="I212">
        <v>0</v>
      </c>
      <c r="M212">
        <v>4</v>
      </c>
      <c r="N212">
        <v>0</v>
      </c>
      <c r="O212">
        <v>2</v>
      </c>
      <c r="P212">
        <v>63.6</v>
      </c>
      <c r="Q212">
        <v>50</v>
      </c>
      <c r="R212">
        <v>50</v>
      </c>
      <c r="S212">
        <v>0</v>
      </c>
      <c r="T212">
        <v>22</v>
      </c>
      <c r="U212" s="1">
        <v>0</v>
      </c>
      <c r="V212">
        <v>135.6</v>
      </c>
    </row>
    <row r="213" spans="1:22" ht="15">
      <c r="A213" s="4">
        <v>206</v>
      </c>
      <c r="B213">
        <v>2501</v>
      </c>
      <c r="C213" t="s">
        <v>574</v>
      </c>
      <c r="D213" t="s">
        <v>14</v>
      </c>
      <c r="E213" t="s">
        <v>575</v>
      </c>
      <c r="F213" t="s">
        <v>576</v>
      </c>
      <c r="G213" t="str">
        <f>"00015714"</f>
        <v>00015714</v>
      </c>
      <c r="H213">
        <v>57.6</v>
      </c>
      <c r="I213">
        <v>10</v>
      </c>
      <c r="K213">
        <v>6</v>
      </c>
      <c r="M213">
        <v>4</v>
      </c>
      <c r="N213">
        <v>6</v>
      </c>
      <c r="O213">
        <v>2</v>
      </c>
      <c r="P213">
        <v>79.6</v>
      </c>
      <c r="Q213">
        <v>53</v>
      </c>
      <c r="R213">
        <v>53</v>
      </c>
      <c r="S213">
        <v>3</v>
      </c>
      <c r="T213">
        <v>0</v>
      </c>
      <c r="U213" s="1">
        <v>0</v>
      </c>
      <c r="V213">
        <v>135.6</v>
      </c>
    </row>
    <row r="214" spans="1:22" ht="15">
      <c r="A214" s="4">
        <v>207</v>
      </c>
      <c r="B214">
        <v>2652</v>
      </c>
      <c r="C214" t="s">
        <v>577</v>
      </c>
      <c r="D214" t="s">
        <v>259</v>
      </c>
      <c r="E214" t="s">
        <v>11</v>
      </c>
      <c r="F214" t="s">
        <v>578</v>
      </c>
      <c r="G214" t="str">
        <f>"00500526"</f>
        <v>00500526</v>
      </c>
      <c r="H214">
        <v>38.56</v>
      </c>
      <c r="I214">
        <v>0</v>
      </c>
      <c r="L214">
        <v>4</v>
      </c>
      <c r="M214">
        <v>0</v>
      </c>
      <c r="N214">
        <v>4</v>
      </c>
      <c r="O214">
        <v>0</v>
      </c>
      <c r="P214">
        <v>42.56</v>
      </c>
      <c r="Q214">
        <v>75</v>
      </c>
      <c r="R214">
        <v>75</v>
      </c>
      <c r="S214">
        <v>18</v>
      </c>
      <c r="T214">
        <v>0</v>
      </c>
      <c r="U214" s="1">
        <v>0</v>
      </c>
      <c r="V214">
        <v>135.56</v>
      </c>
    </row>
    <row r="215" spans="1:22" ht="15">
      <c r="A215" s="4">
        <v>208</v>
      </c>
      <c r="B215">
        <v>796</v>
      </c>
      <c r="C215" t="s">
        <v>579</v>
      </c>
      <c r="D215" t="s">
        <v>580</v>
      </c>
      <c r="E215" t="s">
        <v>242</v>
      </c>
      <c r="F215" t="s">
        <v>581</v>
      </c>
      <c r="G215" t="str">
        <f>"00478506"</f>
        <v>00478506</v>
      </c>
      <c r="H215">
        <v>50.4</v>
      </c>
      <c r="I215">
        <v>0</v>
      </c>
      <c r="M215">
        <v>0</v>
      </c>
      <c r="N215">
        <v>0</v>
      </c>
      <c r="O215">
        <v>0</v>
      </c>
      <c r="P215">
        <v>50.4</v>
      </c>
      <c r="Q215">
        <v>85</v>
      </c>
      <c r="R215">
        <v>85</v>
      </c>
      <c r="S215">
        <v>0</v>
      </c>
      <c r="T215">
        <v>0</v>
      </c>
      <c r="U215" s="1">
        <v>0</v>
      </c>
      <c r="V215">
        <v>135.4</v>
      </c>
    </row>
    <row r="216" spans="1:22" ht="15">
      <c r="A216" s="4">
        <v>209</v>
      </c>
      <c r="B216">
        <v>931</v>
      </c>
      <c r="C216" t="s">
        <v>96</v>
      </c>
      <c r="D216" t="s">
        <v>582</v>
      </c>
      <c r="E216" t="s">
        <v>583</v>
      </c>
      <c r="F216" t="s">
        <v>584</v>
      </c>
      <c r="G216" t="str">
        <f>"00500768"</f>
        <v>00500768</v>
      </c>
      <c r="H216">
        <v>37.32</v>
      </c>
      <c r="I216">
        <v>10</v>
      </c>
      <c r="M216">
        <v>4</v>
      </c>
      <c r="N216">
        <v>0</v>
      </c>
      <c r="O216">
        <v>0</v>
      </c>
      <c r="P216">
        <v>51.32</v>
      </c>
      <c r="Q216">
        <v>78</v>
      </c>
      <c r="R216">
        <v>78</v>
      </c>
      <c r="S216">
        <v>6</v>
      </c>
      <c r="T216">
        <v>0</v>
      </c>
      <c r="U216" s="1">
        <v>0</v>
      </c>
      <c r="V216">
        <v>135.32</v>
      </c>
    </row>
    <row r="217" spans="1:22" ht="15">
      <c r="A217" s="4">
        <v>210</v>
      </c>
      <c r="B217">
        <v>1309</v>
      </c>
      <c r="C217" t="s">
        <v>585</v>
      </c>
      <c r="D217" t="s">
        <v>14</v>
      </c>
      <c r="E217" t="s">
        <v>30</v>
      </c>
      <c r="F217" t="s">
        <v>586</v>
      </c>
      <c r="G217" t="str">
        <f>"00252195"</f>
        <v>00252195</v>
      </c>
      <c r="H217">
        <v>43.2</v>
      </c>
      <c r="I217">
        <v>0</v>
      </c>
      <c r="L217">
        <v>4</v>
      </c>
      <c r="M217">
        <v>4</v>
      </c>
      <c r="N217">
        <v>4</v>
      </c>
      <c r="O217">
        <v>0</v>
      </c>
      <c r="P217">
        <v>51.2</v>
      </c>
      <c r="Q217">
        <v>78</v>
      </c>
      <c r="R217">
        <v>78</v>
      </c>
      <c r="S217">
        <v>6</v>
      </c>
      <c r="T217">
        <v>0</v>
      </c>
      <c r="U217" s="1">
        <v>0</v>
      </c>
      <c r="V217">
        <v>135.2</v>
      </c>
    </row>
    <row r="218" spans="1:22" ht="15">
      <c r="A218" s="4">
        <v>211</v>
      </c>
      <c r="B218">
        <v>1325</v>
      </c>
      <c r="C218" t="s">
        <v>587</v>
      </c>
      <c r="D218" t="s">
        <v>588</v>
      </c>
      <c r="E218" t="s">
        <v>11</v>
      </c>
      <c r="F218" t="s">
        <v>589</v>
      </c>
      <c r="G218" t="str">
        <f>"00485513"</f>
        <v>00485513</v>
      </c>
      <c r="H218">
        <v>36</v>
      </c>
      <c r="I218">
        <v>10</v>
      </c>
      <c r="M218">
        <v>4</v>
      </c>
      <c r="N218">
        <v>0</v>
      </c>
      <c r="O218">
        <v>0</v>
      </c>
      <c r="P218">
        <v>50</v>
      </c>
      <c r="Q218">
        <v>76</v>
      </c>
      <c r="R218">
        <v>76</v>
      </c>
      <c r="S218">
        <v>9</v>
      </c>
      <c r="T218">
        <v>0</v>
      </c>
      <c r="U218" s="1">
        <v>0</v>
      </c>
      <c r="V218">
        <v>135</v>
      </c>
    </row>
    <row r="219" spans="1:22" ht="15">
      <c r="A219" s="4">
        <v>212</v>
      </c>
      <c r="B219">
        <v>1055</v>
      </c>
      <c r="C219" t="s">
        <v>590</v>
      </c>
      <c r="D219" t="s">
        <v>14</v>
      </c>
      <c r="E219" t="s">
        <v>73</v>
      </c>
      <c r="F219" t="s">
        <v>591</v>
      </c>
      <c r="G219" t="str">
        <f>"00476796"</f>
        <v>00476796</v>
      </c>
      <c r="H219">
        <v>0</v>
      </c>
      <c r="I219">
        <v>10</v>
      </c>
      <c r="M219">
        <v>4</v>
      </c>
      <c r="N219">
        <v>0</v>
      </c>
      <c r="O219">
        <v>0</v>
      </c>
      <c r="P219">
        <v>14</v>
      </c>
      <c r="Q219">
        <v>115</v>
      </c>
      <c r="R219">
        <v>115</v>
      </c>
      <c r="S219">
        <v>6</v>
      </c>
      <c r="T219">
        <v>0</v>
      </c>
      <c r="U219" s="1">
        <v>0</v>
      </c>
      <c r="V219">
        <v>135</v>
      </c>
    </row>
    <row r="220" spans="1:22" ht="15">
      <c r="A220" s="4">
        <v>213</v>
      </c>
      <c r="B220">
        <v>328</v>
      </c>
      <c r="C220" t="s">
        <v>592</v>
      </c>
      <c r="D220" t="s">
        <v>26</v>
      </c>
      <c r="E220" t="s">
        <v>593</v>
      </c>
      <c r="F220" t="s">
        <v>594</v>
      </c>
      <c r="G220" t="str">
        <f>"00480172"</f>
        <v>00480172</v>
      </c>
      <c r="H220">
        <v>38.48</v>
      </c>
      <c r="I220">
        <v>0</v>
      </c>
      <c r="K220">
        <v>6</v>
      </c>
      <c r="M220">
        <v>4</v>
      </c>
      <c r="N220">
        <v>6</v>
      </c>
      <c r="O220">
        <v>0</v>
      </c>
      <c r="P220">
        <v>48.48</v>
      </c>
      <c r="Q220">
        <v>80</v>
      </c>
      <c r="R220">
        <v>80</v>
      </c>
      <c r="S220">
        <v>6</v>
      </c>
      <c r="T220">
        <v>0</v>
      </c>
      <c r="U220" s="1">
        <v>0</v>
      </c>
      <c r="V220">
        <v>134.48</v>
      </c>
    </row>
    <row r="221" spans="1:22" ht="15">
      <c r="A221" s="4">
        <v>214</v>
      </c>
      <c r="B221">
        <v>2217</v>
      </c>
      <c r="C221" t="s">
        <v>595</v>
      </c>
      <c r="D221" t="s">
        <v>596</v>
      </c>
      <c r="E221" t="s">
        <v>94</v>
      </c>
      <c r="F221" t="s">
        <v>597</v>
      </c>
      <c r="G221" t="str">
        <f>"00440246"</f>
        <v>00440246</v>
      </c>
      <c r="H221">
        <v>43.2</v>
      </c>
      <c r="I221">
        <v>0</v>
      </c>
      <c r="M221">
        <v>4</v>
      </c>
      <c r="N221">
        <v>0</v>
      </c>
      <c r="O221">
        <v>2</v>
      </c>
      <c r="P221">
        <v>49.2</v>
      </c>
      <c r="Q221">
        <v>82</v>
      </c>
      <c r="R221">
        <v>82</v>
      </c>
      <c r="S221">
        <v>3</v>
      </c>
      <c r="T221">
        <v>0</v>
      </c>
      <c r="U221" s="1">
        <v>0</v>
      </c>
      <c r="V221">
        <v>134.2</v>
      </c>
    </row>
    <row r="222" spans="1:22" ht="15">
      <c r="A222" s="4">
        <v>215</v>
      </c>
      <c r="B222">
        <v>2883</v>
      </c>
      <c r="C222" t="s">
        <v>598</v>
      </c>
      <c r="D222" t="s">
        <v>76</v>
      </c>
      <c r="E222" t="s">
        <v>51</v>
      </c>
      <c r="F222" t="s">
        <v>599</v>
      </c>
      <c r="G222" t="str">
        <f>"00516810"</f>
        <v>00516810</v>
      </c>
      <c r="H222">
        <v>32</v>
      </c>
      <c r="I222">
        <v>0</v>
      </c>
      <c r="M222">
        <v>4</v>
      </c>
      <c r="N222">
        <v>0</v>
      </c>
      <c r="O222">
        <v>0</v>
      </c>
      <c r="P222">
        <v>36</v>
      </c>
      <c r="Q222">
        <v>95</v>
      </c>
      <c r="R222">
        <v>95</v>
      </c>
      <c r="S222">
        <v>3</v>
      </c>
      <c r="T222">
        <v>0</v>
      </c>
      <c r="U222" s="1">
        <v>0</v>
      </c>
      <c r="V222">
        <v>134</v>
      </c>
    </row>
    <row r="223" spans="1:22" ht="15">
      <c r="A223" s="4">
        <v>216</v>
      </c>
      <c r="B223">
        <v>2400</v>
      </c>
      <c r="C223" t="s">
        <v>600</v>
      </c>
      <c r="D223" t="s">
        <v>541</v>
      </c>
      <c r="E223" t="s">
        <v>83</v>
      </c>
      <c r="F223" t="s">
        <v>601</v>
      </c>
      <c r="G223" t="str">
        <f>"00531936"</f>
        <v>00531936</v>
      </c>
      <c r="H223">
        <v>13.88</v>
      </c>
      <c r="I223">
        <v>10</v>
      </c>
      <c r="J223">
        <v>8</v>
      </c>
      <c r="M223">
        <v>4</v>
      </c>
      <c r="N223">
        <v>8</v>
      </c>
      <c r="O223">
        <v>0</v>
      </c>
      <c r="P223">
        <v>35.88</v>
      </c>
      <c r="Q223">
        <v>92</v>
      </c>
      <c r="R223">
        <v>92</v>
      </c>
      <c r="S223">
        <v>6</v>
      </c>
      <c r="T223">
        <v>0</v>
      </c>
      <c r="U223" s="1">
        <v>0</v>
      </c>
      <c r="V223">
        <v>133.88</v>
      </c>
    </row>
    <row r="224" spans="1:22" ht="15">
      <c r="A224" s="4">
        <v>217</v>
      </c>
      <c r="B224">
        <v>195</v>
      </c>
      <c r="C224" t="s">
        <v>602</v>
      </c>
      <c r="D224" t="s">
        <v>603</v>
      </c>
      <c r="E224" t="s">
        <v>19</v>
      </c>
      <c r="F224" t="s">
        <v>604</v>
      </c>
      <c r="G224" t="str">
        <f>"00189433"</f>
        <v>00189433</v>
      </c>
      <c r="H224">
        <v>57.6</v>
      </c>
      <c r="I224">
        <v>0</v>
      </c>
      <c r="L224">
        <v>4</v>
      </c>
      <c r="M224">
        <v>4</v>
      </c>
      <c r="N224">
        <v>4</v>
      </c>
      <c r="O224">
        <v>0</v>
      </c>
      <c r="P224">
        <v>65.6</v>
      </c>
      <c r="Q224">
        <v>68</v>
      </c>
      <c r="R224">
        <v>68</v>
      </c>
      <c r="S224">
        <v>0</v>
      </c>
      <c r="T224">
        <v>0</v>
      </c>
      <c r="U224" s="1">
        <v>0</v>
      </c>
      <c r="V224">
        <v>133.6</v>
      </c>
    </row>
    <row r="225" spans="1:22" ht="15">
      <c r="A225" s="4">
        <v>218</v>
      </c>
      <c r="B225">
        <v>1170</v>
      </c>
      <c r="C225" t="s">
        <v>605</v>
      </c>
      <c r="D225" t="s">
        <v>76</v>
      </c>
      <c r="E225" t="s">
        <v>19</v>
      </c>
      <c r="F225" t="s">
        <v>606</v>
      </c>
      <c r="G225" t="str">
        <f>"00442172"</f>
        <v>00442172</v>
      </c>
      <c r="H225">
        <v>57.6</v>
      </c>
      <c r="I225">
        <v>10</v>
      </c>
      <c r="M225">
        <v>4</v>
      </c>
      <c r="N225">
        <v>0</v>
      </c>
      <c r="O225">
        <v>0</v>
      </c>
      <c r="P225">
        <v>71.6</v>
      </c>
      <c r="Q225">
        <v>62</v>
      </c>
      <c r="R225">
        <v>62</v>
      </c>
      <c r="S225">
        <v>0</v>
      </c>
      <c r="T225">
        <v>0</v>
      </c>
      <c r="U225" s="1">
        <v>0</v>
      </c>
      <c r="V225">
        <v>133.6</v>
      </c>
    </row>
    <row r="226" spans="1:22" ht="15">
      <c r="A226" s="4">
        <v>219</v>
      </c>
      <c r="B226">
        <v>175</v>
      </c>
      <c r="C226" t="s">
        <v>607</v>
      </c>
      <c r="D226" t="s">
        <v>273</v>
      </c>
      <c r="E226" t="s">
        <v>11</v>
      </c>
      <c r="F226" t="s">
        <v>608</v>
      </c>
      <c r="G226" t="str">
        <f>"00161138"</f>
        <v>00161138</v>
      </c>
      <c r="H226">
        <v>57.6</v>
      </c>
      <c r="I226">
        <v>10</v>
      </c>
      <c r="M226">
        <v>4</v>
      </c>
      <c r="N226">
        <v>0</v>
      </c>
      <c r="O226">
        <v>0</v>
      </c>
      <c r="P226">
        <v>71.6</v>
      </c>
      <c r="Q226">
        <v>62</v>
      </c>
      <c r="R226">
        <v>62</v>
      </c>
      <c r="S226">
        <v>0</v>
      </c>
      <c r="T226">
        <v>0</v>
      </c>
      <c r="U226" s="1">
        <v>0</v>
      </c>
      <c r="V226">
        <v>133.6</v>
      </c>
    </row>
    <row r="227" spans="1:22" ht="15">
      <c r="A227" s="4">
        <v>220</v>
      </c>
      <c r="B227">
        <v>1986</v>
      </c>
      <c r="C227" t="s">
        <v>17</v>
      </c>
      <c r="D227" t="s">
        <v>40</v>
      </c>
      <c r="E227" t="s">
        <v>11</v>
      </c>
      <c r="F227" t="s">
        <v>609</v>
      </c>
      <c r="G227" t="str">
        <f>"200801008824"</f>
        <v>200801008824</v>
      </c>
      <c r="H227">
        <v>36.44</v>
      </c>
      <c r="I227">
        <v>0</v>
      </c>
      <c r="M227">
        <v>4</v>
      </c>
      <c r="N227">
        <v>0</v>
      </c>
      <c r="O227">
        <v>0</v>
      </c>
      <c r="P227">
        <v>40.44</v>
      </c>
      <c r="Q227">
        <v>87</v>
      </c>
      <c r="R227">
        <v>87</v>
      </c>
      <c r="S227">
        <v>6</v>
      </c>
      <c r="T227">
        <v>0</v>
      </c>
      <c r="U227" s="1">
        <v>0</v>
      </c>
      <c r="V227">
        <v>133.44</v>
      </c>
    </row>
    <row r="228" spans="1:22" ht="15">
      <c r="A228" s="4">
        <v>221</v>
      </c>
      <c r="B228">
        <v>1929</v>
      </c>
      <c r="C228" t="s">
        <v>610</v>
      </c>
      <c r="D228" t="s">
        <v>611</v>
      </c>
      <c r="E228" t="s">
        <v>327</v>
      </c>
      <c r="F228" t="s">
        <v>612</v>
      </c>
      <c r="G228" t="str">
        <f>"00152019"</f>
        <v>00152019</v>
      </c>
      <c r="H228">
        <v>50.4</v>
      </c>
      <c r="I228">
        <v>0</v>
      </c>
      <c r="J228">
        <v>8</v>
      </c>
      <c r="M228">
        <v>4</v>
      </c>
      <c r="N228">
        <v>8</v>
      </c>
      <c r="O228">
        <v>2</v>
      </c>
      <c r="P228">
        <v>64.4</v>
      </c>
      <c r="Q228">
        <v>69</v>
      </c>
      <c r="R228">
        <v>69</v>
      </c>
      <c r="S228">
        <v>0</v>
      </c>
      <c r="T228">
        <v>0</v>
      </c>
      <c r="U228" s="1">
        <v>0</v>
      </c>
      <c r="V228">
        <v>133.4</v>
      </c>
    </row>
    <row r="229" spans="1:22" ht="15">
      <c r="A229" s="4">
        <v>222</v>
      </c>
      <c r="B229">
        <v>719</v>
      </c>
      <c r="C229" t="s">
        <v>613</v>
      </c>
      <c r="D229" t="s">
        <v>76</v>
      </c>
      <c r="E229" t="s">
        <v>157</v>
      </c>
      <c r="F229" t="s">
        <v>614</v>
      </c>
      <c r="G229" t="str">
        <f>"00441571"</f>
        <v>00441571</v>
      </c>
      <c r="H229">
        <v>14.4</v>
      </c>
      <c r="I229">
        <v>0</v>
      </c>
      <c r="L229">
        <v>4</v>
      </c>
      <c r="M229">
        <v>4</v>
      </c>
      <c r="N229">
        <v>4</v>
      </c>
      <c r="O229">
        <v>0</v>
      </c>
      <c r="P229">
        <v>22.4</v>
      </c>
      <c r="Q229">
        <v>111</v>
      </c>
      <c r="R229">
        <v>111</v>
      </c>
      <c r="S229">
        <v>0</v>
      </c>
      <c r="T229">
        <v>0</v>
      </c>
      <c r="U229" s="1">
        <v>0</v>
      </c>
      <c r="V229">
        <v>133.4</v>
      </c>
    </row>
    <row r="230" spans="1:22" ht="15">
      <c r="A230" s="4">
        <v>223</v>
      </c>
      <c r="B230">
        <v>1302</v>
      </c>
      <c r="C230" t="s">
        <v>615</v>
      </c>
      <c r="D230" t="s">
        <v>477</v>
      </c>
      <c r="E230" t="s">
        <v>23</v>
      </c>
      <c r="F230" t="s">
        <v>616</v>
      </c>
      <c r="G230" t="str">
        <f>"00484866"</f>
        <v>00484866</v>
      </c>
      <c r="H230">
        <v>43.2</v>
      </c>
      <c r="I230">
        <v>0</v>
      </c>
      <c r="L230">
        <v>4</v>
      </c>
      <c r="M230">
        <v>4</v>
      </c>
      <c r="N230">
        <v>4</v>
      </c>
      <c r="O230">
        <v>0</v>
      </c>
      <c r="P230">
        <v>51.2</v>
      </c>
      <c r="Q230">
        <v>79</v>
      </c>
      <c r="R230">
        <v>79</v>
      </c>
      <c r="S230">
        <v>3</v>
      </c>
      <c r="T230">
        <v>0</v>
      </c>
      <c r="U230" s="1">
        <v>0</v>
      </c>
      <c r="V230">
        <v>133.2</v>
      </c>
    </row>
    <row r="231" spans="1:22" ht="15">
      <c r="A231" s="4">
        <v>224</v>
      </c>
      <c r="B231">
        <v>812</v>
      </c>
      <c r="C231" t="s">
        <v>617</v>
      </c>
      <c r="D231" t="s">
        <v>618</v>
      </c>
      <c r="E231" t="s">
        <v>73</v>
      </c>
      <c r="F231" t="s">
        <v>619</v>
      </c>
      <c r="G231" t="str">
        <f>"00163967"</f>
        <v>00163967</v>
      </c>
      <c r="H231">
        <v>27.12</v>
      </c>
      <c r="I231">
        <v>0</v>
      </c>
      <c r="M231">
        <v>4</v>
      </c>
      <c r="N231">
        <v>0</v>
      </c>
      <c r="O231">
        <v>0</v>
      </c>
      <c r="P231">
        <v>31.12</v>
      </c>
      <c r="Q231">
        <v>70</v>
      </c>
      <c r="R231">
        <v>70</v>
      </c>
      <c r="S231">
        <v>0</v>
      </c>
      <c r="T231">
        <v>32</v>
      </c>
      <c r="U231" s="1">
        <v>0</v>
      </c>
      <c r="V231">
        <v>133.12</v>
      </c>
    </row>
    <row r="232" spans="1:22" ht="15">
      <c r="A232" s="4">
        <v>225</v>
      </c>
      <c r="B232">
        <v>681</v>
      </c>
      <c r="C232" t="s">
        <v>620</v>
      </c>
      <c r="D232" t="s">
        <v>621</v>
      </c>
      <c r="E232" t="s">
        <v>15</v>
      </c>
      <c r="F232" t="s">
        <v>622</v>
      </c>
      <c r="G232" t="str">
        <f>"00498806"</f>
        <v>00498806</v>
      </c>
      <c r="H232">
        <v>32</v>
      </c>
      <c r="I232">
        <v>0</v>
      </c>
      <c r="J232">
        <v>8</v>
      </c>
      <c r="M232">
        <v>4</v>
      </c>
      <c r="N232">
        <v>8</v>
      </c>
      <c r="O232">
        <v>0</v>
      </c>
      <c r="P232">
        <v>44</v>
      </c>
      <c r="Q232">
        <v>89</v>
      </c>
      <c r="R232">
        <v>89</v>
      </c>
      <c r="S232">
        <v>0</v>
      </c>
      <c r="T232">
        <v>0</v>
      </c>
      <c r="U232" s="1">
        <v>0</v>
      </c>
      <c r="V232">
        <v>133</v>
      </c>
    </row>
    <row r="233" spans="1:22" ht="15">
      <c r="A233" s="4">
        <v>226</v>
      </c>
      <c r="B233">
        <v>2314</v>
      </c>
      <c r="C233" t="s">
        <v>623</v>
      </c>
      <c r="D233" t="s">
        <v>72</v>
      </c>
      <c r="E233" t="s">
        <v>19</v>
      </c>
      <c r="F233" t="s">
        <v>624</v>
      </c>
      <c r="G233" t="str">
        <f>"00252425"</f>
        <v>00252425</v>
      </c>
      <c r="H233">
        <v>33</v>
      </c>
      <c r="I233">
        <v>0</v>
      </c>
      <c r="M233">
        <v>0</v>
      </c>
      <c r="N233">
        <v>0</v>
      </c>
      <c r="O233">
        <v>0</v>
      </c>
      <c r="P233">
        <v>33</v>
      </c>
      <c r="Q233">
        <v>94</v>
      </c>
      <c r="R233">
        <v>94</v>
      </c>
      <c r="S233">
        <v>6</v>
      </c>
      <c r="T233">
        <v>0</v>
      </c>
      <c r="U233" s="1">
        <v>0</v>
      </c>
      <c r="V233">
        <v>133</v>
      </c>
    </row>
    <row r="234" spans="1:22" ht="15">
      <c r="A234" s="4">
        <v>227</v>
      </c>
      <c r="B234">
        <v>2060</v>
      </c>
      <c r="C234" t="s">
        <v>625</v>
      </c>
      <c r="D234" t="s">
        <v>626</v>
      </c>
      <c r="E234" t="s">
        <v>23</v>
      </c>
      <c r="F234" t="s">
        <v>627</v>
      </c>
      <c r="G234" t="str">
        <f>"00483840"</f>
        <v>00483840</v>
      </c>
      <c r="H234">
        <v>57.6</v>
      </c>
      <c r="I234">
        <v>10</v>
      </c>
      <c r="M234">
        <v>4</v>
      </c>
      <c r="N234">
        <v>0</v>
      </c>
      <c r="O234">
        <v>0</v>
      </c>
      <c r="P234">
        <v>71.6</v>
      </c>
      <c r="Q234">
        <v>61</v>
      </c>
      <c r="R234">
        <v>61</v>
      </c>
      <c r="S234">
        <v>0</v>
      </c>
      <c r="T234">
        <v>0</v>
      </c>
      <c r="U234" s="1">
        <v>0</v>
      </c>
      <c r="V234">
        <v>132.6</v>
      </c>
    </row>
    <row r="235" spans="1:22" ht="15">
      <c r="A235" s="4">
        <v>228</v>
      </c>
      <c r="B235">
        <v>1760</v>
      </c>
      <c r="C235" t="s">
        <v>628</v>
      </c>
      <c r="D235" t="s">
        <v>26</v>
      </c>
      <c r="E235" t="s">
        <v>11</v>
      </c>
      <c r="F235" t="s">
        <v>629</v>
      </c>
      <c r="G235" t="str">
        <f>"00441585"</f>
        <v>00441585</v>
      </c>
      <c r="H235">
        <v>50.4</v>
      </c>
      <c r="I235">
        <v>0</v>
      </c>
      <c r="L235">
        <v>4</v>
      </c>
      <c r="M235">
        <v>4</v>
      </c>
      <c r="N235">
        <v>4</v>
      </c>
      <c r="O235">
        <v>0</v>
      </c>
      <c r="P235">
        <v>58.4</v>
      </c>
      <c r="Q235">
        <v>71</v>
      </c>
      <c r="R235">
        <v>71</v>
      </c>
      <c r="S235">
        <v>3</v>
      </c>
      <c r="T235">
        <v>0</v>
      </c>
      <c r="U235" s="1">
        <v>0</v>
      </c>
      <c r="V235">
        <v>132.4</v>
      </c>
    </row>
    <row r="236" spans="1:22" ht="15">
      <c r="A236" s="4">
        <v>229</v>
      </c>
      <c r="B236">
        <v>1899</v>
      </c>
      <c r="C236" t="s">
        <v>630</v>
      </c>
      <c r="D236" t="s">
        <v>82</v>
      </c>
      <c r="E236" t="s">
        <v>631</v>
      </c>
      <c r="F236" t="s">
        <v>632</v>
      </c>
      <c r="G236" t="str">
        <f>"201007000134"</f>
        <v>201007000134</v>
      </c>
      <c r="H236">
        <v>36</v>
      </c>
      <c r="I236">
        <v>0</v>
      </c>
      <c r="M236">
        <v>0</v>
      </c>
      <c r="N236">
        <v>0</v>
      </c>
      <c r="O236">
        <v>0</v>
      </c>
      <c r="P236">
        <v>36</v>
      </c>
      <c r="Q236">
        <v>96</v>
      </c>
      <c r="R236">
        <v>96</v>
      </c>
      <c r="S236">
        <v>0</v>
      </c>
      <c r="T236">
        <v>0</v>
      </c>
      <c r="U236" s="1">
        <v>0</v>
      </c>
      <c r="V236">
        <v>132</v>
      </c>
    </row>
    <row r="237" spans="1:22" ht="15">
      <c r="A237" s="4">
        <v>230</v>
      </c>
      <c r="B237">
        <v>3023</v>
      </c>
      <c r="C237" t="s">
        <v>633</v>
      </c>
      <c r="D237" t="s">
        <v>76</v>
      </c>
      <c r="E237" t="s">
        <v>237</v>
      </c>
      <c r="F237" t="s">
        <v>634</v>
      </c>
      <c r="G237" t="str">
        <f>"00530859"</f>
        <v>00530859</v>
      </c>
      <c r="H237">
        <v>24</v>
      </c>
      <c r="I237">
        <v>0</v>
      </c>
      <c r="M237">
        <v>4</v>
      </c>
      <c r="N237">
        <v>0</v>
      </c>
      <c r="O237">
        <v>0</v>
      </c>
      <c r="P237">
        <v>28</v>
      </c>
      <c r="Q237">
        <v>101</v>
      </c>
      <c r="R237">
        <v>101</v>
      </c>
      <c r="S237">
        <v>3</v>
      </c>
      <c r="T237">
        <v>0</v>
      </c>
      <c r="U237" s="1">
        <v>0</v>
      </c>
      <c r="V237">
        <v>132</v>
      </c>
    </row>
    <row r="238" spans="1:22" ht="15">
      <c r="A238" s="4">
        <v>231</v>
      </c>
      <c r="B238">
        <v>915</v>
      </c>
      <c r="C238" t="s">
        <v>635</v>
      </c>
      <c r="D238" t="s">
        <v>29</v>
      </c>
      <c r="E238" t="s">
        <v>30</v>
      </c>
      <c r="F238" t="s">
        <v>636</v>
      </c>
      <c r="G238" t="str">
        <f>"201511023595"</f>
        <v>201511023595</v>
      </c>
      <c r="H238">
        <v>28</v>
      </c>
      <c r="I238">
        <v>10</v>
      </c>
      <c r="M238">
        <v>4</v>
      </c>
      <c r="N238">
        <v>0</v>
      </c>
      <c r="O238">
        <v>0</v>
      </c>
      <c r="P238">
        <v>42</v>
      </c>
      <c r="Q238">
        <v>87</v>
      </c>
      <c r="R238">
        <v>87</v>
      </c>
      <c r="S238">
        <v>3</v>
      </c>
      <c r="T238">
        <v>0</v>
      </c>
      <c r="U238" s="1">
        <v>0</v>
      </c>
      <c r="V238">
        <v>132</v>
      </c>
    </row>
    <row r="239" spans="1:22" ht="15">
      <c r="A239" s="4">
        <v>232</v>
      </c>
      <c r="B239">
        <v>2276</v>
      </c>
      <c r="C239" t="s">
        <v>637</v>
      </c>
      <c r="D239" t="s">
        <v>477</v>
      </c>
      <c r="E239" t="s">
        <v>51</v>
      </c>
      <c r="F239" t="s">
        <v>638</v>
      </c>
      <c r="G239" t="str">
        <f>"00513854"</f>
        <v>00513854</v>
      </c>
      <c r="H239">
        <v>36</v>
      </c>
      <c r="I239">
        <v>10</v>
      </c>
      <c r="K239">
        <v>6</v>
      </c>
      <c r="M239">
        <v>4</v>
      </c>
      <c r="N239">
        <v>6</v>
      </c>
      <c r="O239">
        <v>0</v>
      </c>
      <c r="P239">
        <v>56</v>
      </c>
      <c r="Q239">
        <v>70</v>
      </c>
      <c r="R239">
        <v>70</v>
      </c>
      <c r="S239">
        <v>6</v>
      </c>
      <c r="T239">
        <v>0</v>
      </c>
      <c r="U239" s="1">
        <v>0</v>
      </c>
      <c r="V239">
        <v>132</v>
      </c>
    </row>
    <row r="240" spans="1:22" ht="15">
      <c r="A240" s="4">
        <v>233</v>
      </c>
      <c r="B240">
        <v>902</v>
      </c>
      <c r="C240" t="s">
        <v>639</v>
      </c>
      <c r="D240" t="s">
        <v>640</v>
      </c>
      <c r="E240" t="s">
        <v>112</v>
      </c>
      <c r="F240" t="s">
        <v>641</v>
      </c>
      <c r="G240" t="str">
        <f>"200802005991"</f>
        <v>200802005991</v>
      </c>
      <c r="H240">
        <v>72</v>
      </c>
      <c r="I240">
        <v>0</v>
      </c>
      <c r="L240">
        <v>4</v>
      </c>
      <c r="M240">
        <v>4</v>
      </c>
      <c r="N240">
        <v>4</v>
      </c>
      <c r="O240">
        <v>2</v>
      </c>
      <c r="P240">
        <v>82</v>
      </c>
      <c r="Q240">
        <v>50</v>
      </c>
      <c r="R240">
        <v>50</v>
      </c>
      <c r="S240">
        <v>0</v>
      </c>
      <c r="T240">
        <v>0</v>
      </c>
      <c r="U240" s="1">
        <v>0</v>
      </c>
      <c r="V240">
        <v>132</v>
      </c>
    </row>
    <row r="241" spans="1:22" ht="15">
      <c r="A241" s="4">
        <v>234</v>
      </c>
      <c r="B241">
        <v>1874</v>
      </c>
      <c r="C241" t="s">
        <v>642</v>
      </c>
      <c r="D241" t="s">
        <v>643</v>
      </c>
      <c r="E241" t="s">
        <v>644</v>
      </c>
      <c r="F241" t="s">
        <v>645</v>
      </c>
      <c r="G241" t="str">
        <f>"00522586"</f>
        <v>00522586</v>
      </c>
      <c r="H241">
        <v>36</v>
      </c>
      <c r="I241">
        <v>0</v>
      </c>
      <c r="M241">
        <v>0</v>
      </c>
      <c r="N241">
        <v>0</v>
      </c>
      <c r="O241">
        <v>0</v>
      </c>
      <c r="P241">
        <v>36</v>
      </c>
      <c r="Q241">
        <v>93</v>
      </c>
      <c r="R241">
        <v>93</v>
      </c>
      <c r="S241">
        <v>3</v>
      </c>
      <c r="T241">
        <v>0</v>
      </c>
      <c r="U241" s="1">
        <v>0</v>
      </c>
      <c r="V241">
        <v>132</v>
      </c>
    </row>
    <row r="242" spans="1:22" ht="15">
      <c r="A242" s="4">
        <v>235</v>
      </c>
      <c r="B242">
        <v>2197</v>
      </c>
      <c r="C242" t="s">
        <v>646</v>
      </c>
      <c r="D242" t="s">
        <v>156</v>
      </c>
      <c r="E242" t="s">
        <v>157</v>
      </c>
      <c r="F242" t="s">
        <v>647</v>
      </c>
      <c r="G242" t="str">
        <f>"00154401"</f>
        <v>00154401</v>
      </c>
      <c r="H242">
        <v>64.8</v>
      </c>
      <c r="I242">
        <v>0</v>
      </c>
      <c r="L242">
        <v>4</v>
      </c>
      <c r="M242">
        <v>4</v>
      </c>
      <c r="N242">
        <v>4</v>
      </c>
      <c r="O242">
        <v>0</v>
      </c>
      <c r="P242">
        <v>72.8</v>
      </c>
      <c r="Q242">
        <v>59</v>
      </c>
      <c r="R242">
        <v>59</v>
      </c>
      <c r="S242">
        <v>0</v>
      </c>
      <c r="T242">
        <v>0</v>
      </c>
      <c r="U242" s="1">
        <v>0</v>
      </c>
      <c r="V242">
        <v>131.8</v>
      </c>
    </row>
    <row r="243" spans="1:22" ht="15">
      <c r="A243" s="4">
        <v>236</v>
      </c>
      <c r="B243">
        <v>2079</v>
      </c>
      <c r="C243" t="s">
        <v>648</v>
      </c>
      <c r="D243" t="s">
        <v>649</v>
      </c>
      <c r="E243" t="s">
        <v>23</v>
      </c>
      <c r="F243" t="s">
        <v>650</v>
      </c>
      <c r="G243" t="str">
        <f>"00492634"</f>
        <v>00492634</v>
      </c>
      <c r="H243">
        <v>32.88</v>
      </c>
      <c r="I243">
        <v>0</v>
      </c>
      <c r="M243">
        <v>4</v>
      </c>
      <c r="N243">
        <v>0</v>
      </c>
      <c r="O243">
        <v>0</v>
      </c>
      <c r="P243">
        <v>36.88</v>
      </c>
      <c r="Q243">
        <v>62</v>
      </c>
      <c r="R243">
        <v>62</v>
      </c>
      <c r="S243">
        <v>6</v>
      </c>
      <c r="T243">
        <v>26.8</v>
      </c>
      <c r="U243" s="1">
        <v>0</v>
      </c>
      <c r="V243">
        <v>131.68</v>
      </c>
    </row>
    <row r="244" spans="1:22" ht="15">
      <c r="A244" s="4">
        <v>237</v>
      </c>
      <c r="B244">
        <v>2965</v>
      </c>
      <c r="C244" t="s">
        <v>651</v>
      </c>
      <c r="D244" t="s">
        <v>127</v>
      </c>
      <c r="E244" t="s">
        <v>90</v>
      </c>
      <c r="F244" t="s">
        <v>652</v>
      </c>
      <c r="G244" t="str">
        <f>"00530678"</f>
        <v>00530678</v>
      </c>
      <c r="H244">
        <v>50.4</v>
      </c>
      <c r="I244">
        <v>10</v>
      </c>
      <c r="J244">
        <v>8</v>
      </c>
      <c r="M244">
        <v>0</v>
      </c>
      <c r="N244">
        <v>8</v>
      </c>
      <c r="O244">
        <v>2</v>
      </c>
      <c r="P244">
        <v>70.4</v>
      </c>
      <c r="Q244">
        <v>61</v>
      </c>
      <c r="R244">
        <v>61</v>
      </c>
      <c r="S244">
        <v>0</v>
      </c>
      <c r="T244">
        <v>0</v>
      </c>
      <c r="U244" s="1">
        <v>0</v>
      </c>
      <c r="V244">
        <v>131.4</v>
      </c>
    </row>
    <row r="245" spans="1:22" ht="15">
      <c r="A245" s="4">
        <v>238</v>
      </c>
      <c r="B245">
        <v>1655</v>
      </c>
      <c r="C245" t="s">
        <v>653</v>
      </c>
      <c r="D245" t="s">
        <v>179</v>
      </c>
      <c r="E245" t="s">
        <v>99</v>
      </c>
      <c r="F245" t="s">
        <v>654</v>
      </c>
      <c r="G245" t="str">
        <f>"00515059"</f>
        <v>00515059</v>
      </c>
      <c r="H245">
        <v>17.08</v>
      </c>
      <c r="I245">
        <v>0</v>
      </c>
      <c r="M245">
        <v>0</v>
      </c>
      <c r="N245">
        <v>0</v>
      </c>
      <c r="O245">
        <v>0</v>
      </c>
      <c r="P245">
        <v>17.08</v>
      </c>
      <c r="Q245">
        <v>108</v>
      </c>
      <c r="R245">
        <v>108</v>
      </c>
      <c r="S245">
        <v>6</v>
      </c>
      <c r="T245">
        <v>0</v>
      </c>
      <c r="U245" s="1">
        <v>0</v>
      </c>
      <c r="V245">
        <v>131.08</v>
      </c>
    </row>
    <row r="246" spans="1:22" ht="15">
      <c r="A246" s="4">
        <v>239</v>
      </c>
      <c r="B246">
        <v>3004</v>
      </c>
      <c r="C246" t="s">
        <v>655</v>
      </c>
      <c r="D246" t="s">
        <v>656</v>
      </c>
      <c r="E246" t="s">
        <v>55</v>
      </c>
      <c r="F246" t="s">
        <v>657</v>
      </c>
      <c r="G246" t="str">
        <f>"00512858"</f>
        <v>00512858</v>
      </c>
      <c r="H246">
        <v>36</v>
      </c>
      <c r="I246">
        <v>10</v>
      </c>
      <c r="L246">
        <v>4</v>
      </c>
      <c r="M246">
        <v>0</v>
      </c>
      <c r="N246">
        <v>4</v>
      </c>
      <c r="O246">
        <v>0</v>
      </c>
      <c r="P246">
        <v>50</v>
      </c>
      <c r="Q246">
        <v>78</v>
      </c>
      <c r="R246">
        <v>78</v>
      </c>
      <c r="S246">
        <v>3</v>
      </c>
      <c r="T246">
        <v>0</v>
      </c>
      <c r="U246" s="1">
        <v>0</v>
      </c>
      <c r="V246">
        <v>131</v>
      </c>
    </row>
    <row r="247" spans="1:22" ht="15">
      <c r="A247" s="4">
        <v>240</v>
      </c>
      <c r="B247">
        <v>1608</v>
      </c>
      <c r="C247" t="s">
        <v>658</v>
      </c>
      <c r="D247" t="s">
        <v>643</v>
      </c>
      <c r="E247" t="s">
        <v>11</v>
      </c>
      <c r="F247" t="s">
        <v>659</v>
      </c>
      <c r="G247" t="str">
        <f>"200712005266"</f>
        <v>200712005266</v>
      </c>
      <c r="H247">
        <v>34</v>
      </c>
      <c r="I247">
        <v>0</v>
      </c>
      <c r="L247">
        <v>4</v>
      </c>
      <c r="M247">
        <v>4</v>
      </c>
      <c r="N247">
        <v>4</v>
      </c>
      <c r="O247">
        <v>0</v>
      </c>
      <c r="P247">
        <v>42</v>
      </c>
      <c r="Q247">
        <v>86</v>
      </c>
      <c r="R247">
        <v>86</v>
      </c>
      <c r="S247">
        <v>3</v>
      </c>
      <c r="T247">
        <v>0</v>
      </c>
      <c r="U247" s="1">
        <v>0</v>
      </c>
      <c r="V247">
        <v>131</v>
      </c>
    </row>
    <row r="248" spans="1:22" ht="15">
      <c r="A248" s="4">
        <v>241</v>
      </c>
      <c r="B248">
        <v>1538</v>
      </c>
      <c r="C248" t="s">
        <v>660</v>
      </c>
      <c r="D248" t="s">
        <v>661</v>
      </c>
      <c r="E248" t="s">
        <v>86</v>
      </c>
      <c r="F248" t="s">
        <v>662</v>
      </c>
      <c r="G248" t="str">
        <f>"00050125"</f>
        <v>00050125</v>
      </c>
      <c r="H248">
        <v>36.88</v>
      </c>
      <c r="I248">
        <v>0</v>
      </c>
      <c r="M248">
        <v>4</v>
      </c>
      <c r="N248">
        <v>0</v>
      </c>
      <c r="O248">
        <v>0</v>
      </c>
      <c r="P248">
        <v>40.88</v>
      </c>
      <c r="Q248">
        <v>87</v>
      </c>
      <c r="R248">
        <v>87</v>
      </c>
      <c r="S248">
        <v>3</v>
      </c>
      <c r="T248">
        <v>0</v>
      </c>
      <c r="U248" s="1">
        <v>0</v>
      </c>
      <c r="V248">
        <v>130.88</v>
      </c>
    </row>
    <row r="249" spans="1:22" ht="15">
      <c r="A249" s="4">
        <v>242</v>
      </c>
      <c r="B249">
        <v>1601</v>
      </c>
      <c r="C249" t="s">
        <v>663</v>
      </c>
      <c r="D249" t="s">
        <v>26</v>
      </c>
      <c r="E249" t="s">
        <v>260</v>
      </c>
      <c r="F249" t="s">
        <v>664</v>
      </c>
      <c r="G249" t="str">
        <f>"00163814"</f>
        <v>00163814</v>
      </c>
      <c r="H249">
        <v>28.72</v>
      </c>
      <c r="I249">
        <v>10</v>
      </c>
      <c r="M249">
        <v>0</v>
      </c>
      <c r="N249">
        <v>0</v>
      </c>
      <c r="O249">
        <v>0</v>
      </c>
      <c r="P249">
        <v>38.72</v>
      </c>
      <c r="Q249">
        <v>86</v>
      </c>
      <c r="R249">
        <v>86</v>
      </c>
      <c r="S249">
        <v>6</v>
      </c>
      <c r="T249">
        <v>0</v>
      </c>
      <c r="U249" s="1">
        <v>0</v>
      </c>
      <c r="V249">
        <v>130.72</v>
      </c>
    </row>
    <row r="250" spans="1:22" ht="15">
      <c r="A250" s="4">
        <v>243</v>
      </c>
      <c r="B250">
        <v>2336</v>
      </c>
      <c r="C250" t="s">
        <v>665</v>
      </c>
      <c r="D250" t="s">
        <v>118</v>
      </c>
      <c r="E250" t="s">
        <v>51</v>
      </c>
      <c r="F250" t="s">
        <v>666</v>
      </c>
      <c r="G250" t="str">
        <f>"00533439"</f>
        <v>00533439</v>
      </c>
      <c r="H250">
        <v>19.56</v>
      </c>
      <c r="I250">
        <v>10</v>
      </c>
      <c r="M250">
        <v>0</v>
      </c>
      <c r="N250">
        <v>0</v>
      </c>
      <c r="O250">
        <v>0</v>
      </c>
      <c r="P250">
        <v>29.56</v>
      </c>
      <c r="Q250">
        <v>101</v>
      </c>
      <c r="R250">
        <v>101</v>
      </c>
      <c r="S250">
        <v>0</v>
      </c>
      <c r="T250">
        <v>0</v>
      </c>
      <c r="U250" s="1">
        <v>0</v>
      </c>
      <c r="V250">
        <v>130.56</v>
      </c>
    </row>
    <row r="251" spans="1:22" ht="15">
      <c r="A251" s="4">
        <v>244</v>
      </c>
      <c r="B251">
        <v>2009</v>
      </c>
      <c r="C251" t="s">
        <v>667</v>
      </c>
      <c r="D251" t="s">
        <v>102</v>
      </c>
      <c r="E251" t="s">
        <v>30</v>
      </c>
      <c r="F251" t="s">
        <v>668</v>
      </c>
      <c r="G251" t="str">
        <f>"00442292"</f>
        <v>00442292</v>
      </c>
      <c r="H251">
        <v>0</v>
      </c>
      <c r="I251">
        <v>0</v>
      </c>
      <c r="L251">
        <v>4</v>
      </c>
      <c r="M251">
        <v>4</v>
      </c>
      <c r="N251">
        <v>4</v>
      </c>
      <c r="O251">
        <v>0</v>
      </c>
      <c r="P251">
        <v>8</v>
      </c>
      <c r="Q251">
        <v>116</v>
      </c>
      <c r="R251">
        <v>116</v>
      </c>
      <c r="S251">
        <v>6</v>
      </c>
      <c r="T251">
        <v>0</v>
      </c>
      <c r="U251" s="1">
        <v>0</v>
      </c>
      <c r="V251">
        <v>130</v>
      </c>
    </row>
    <row r="252" spans="1:22" ht="15">
      <c r="A252" s="4">
        <v>245</v>
      </c>
      <c r="B252">
        <v>2300</v>
      </c>
      <c r="C252" t="s">
        <v>669</v>
      </c>
      <c r="D252" t="s">
        <v>643</v>
      </c>
      <c r="E252" t="s">
        <v>317</v>
      </c>
      <c r="F252" t="s">
        <v>670</v>
      </c>
      <c r="G252" t="str">
        <f>"00523529"</f>
        <v>00523529</v>
      </c>
      <c r="H252">
        <v>0</v>
      </c>
      <c r="I252">
        <v>0</v>
      </c>
      <c r="M252">
        <v>4</v>
      </c>
      <c r="N252">
        <v>0</v>
      </c>
      <c r="O252">
        <v>0</v>
      </c>
      <c r="P252">
        <v>4</v>
      </c>
      <c r="Q252">
        <v>120</v>
      </c>
      <c r="R252">
        <v>120</v>
      </c>
      <c r="S252">
        <v>6</v>
      </c>
      <c r="T252">
        <v>0</v>
      </c>
      <c r="U252" s="1">
        <v>0</v>
      </c>
      <c r="V252">
        <v>130</v>
      </c>
    </row>
    <row r="253" spans="1:22" ht="15">
      <c r="A253" s="4">
        <v>246</v>
      </c>
      <c r="B253">
        <v>3113</v>
      </c>
      <c r="C253" t="s">
        <v>671</v>
      </c>
      <c r="D253" t="s">
        <v>490</v>
      </c>
      <c r="E253" t="s">
        <v>672</v>
      </c>
      <c r="F253" t="s">
        <v>673</v>
      </c>
      <c r="G253" t="str">
        <f>"00533302"</f>
        <v>00533302</v>
      </c>
      <c r="H253">
        <v>57.6</v>
      </c>
      <c r="I253">
        <v>0</v>
      </c>
      <c r="M253">
        <v>4</v>
      </c>
      <c r="N253">
        <v>0</v>
      </c>
      <c r="O253">
        <v>0</v>
      </c>
      <c r="P253">
        <v>61.6</v>
      </c>
      <c r="Q253">
        <v>65</v>
      </c>
      <c r="R253">
        <v>65</v>
      </c>
      <c r="S253">
        <v>3</v>
      </c>
      <c r="T253">
        <v>0</v>
      </c>
      <c r="U253" s="1">
        <v>0</v>
      </c>
      <c r="V253">
        <v>129.6</v>
      </c>
    </row>
    <row r="254" spans="1:22" ht="15">
      <c r="A254" s="4">
        <v>247</v>
      </c>
      <c r="B254">
        <v>1873</v>
      </c>
      <c r="C254" t="s">
        <v>674</v>
      </c>
      <c r="D254" t="s">
        <v>357</v>
      </c>
      <c r="E254" t="s">
        <v>675</v>
      </c>
      <c r="F254" t="s">
        <v>676</v>
      </c>
      <c r="G254" t="str">
        <f>"00497876"</f>
        <v>00497876</v>
      </c>
      <c r="H254">
        <v>7.2</v>
      </c>
      <c r="I254">
        <v>10</v>
      </c>
      <c r="M254">
        <v>4</v>
      </c>
      <c r="N254">
        <v>0</v>
      </c>
      <c r="O254">
        <v>0</v>
      </c>
      <c r="P254">
        <v>21.2</v>
      </c>
      <c r="Q254">
        <v>75</v>
      </c>
      <c r="R254">
        <v>75</v>
      </c>
      <c r="S254">
        <v>6</v>
      </c>
      <c r="T254">
        <v>26.8</v>
      </c>
      <c r="U254" s="1">
        <v>0</v>
      </c>
      <c r="V254">
        <v>129</v>
      </c>
    </row>
    <row r="255" spans="1:22" ht="15">
      <c r="A255" s="4">
        <v>248</v>
      </c>
      <c r="B255">
        <v>1238</v>
      </c>
      <c r="C255" t="s">
        <v>96</v>
      </c>
      <c r="D255" t="s">
        <v>14</v>
      </c>
      <c r="E255" t="s">
        <v>30</v>
      </c>
      <c r="F255" t="s">
        <v>677</v>
      </c>
      <c r="G255" t="str">
        <f>"00504136"</f>
        <v>00504136</v>
      </c>
      <c r="H255">
        <v>28.8</v>
      </c>
      <c r="I255">
        <v>10</v>
      </c>
      <c r="M255">
        <v>0</v>
      </c>
      <c r="N255">
        <v>0</v>
      </c>
      <c r="O255">
        <v>0</v>
      </c>
      <c r="P255">
        <v>38.8</v>
      </c>
      <c r="Q255">
        <v>52</v>
      </c>
      <c r="R255">
        <v>52</v>
      </c>
      <c r="S255">
        <v>6</v>
      </c>
      <c r="T255">
        <v>32</v>
      </c>
      <c r="U255" s="1">
        <v>0</v>
      </c>
      <c r="V255">
        <v>128.8</v>
      </c>
    </row>
    <row r="256" spans="1:22" ht="15">
      <c r="A256" s="4">
        <v>249</v>
      </c>
      <c r="B256">
        <v>2045</v>
      </c>
      <c r="C256" t="s">
        <v>678</v>
      </c>
      <c r="D256" t="s">
        <v>679</v>
      </c>
      <c r="E256" t="s">
        <v>225</v>
      </c>
      <c r="F256" t="s">
        <v>680</v>
      </c>
      <c r="G256" t="str">
        <f>"00154139"</f>
        <v>00154139</v>
      </c>
      <c r="H256">
        <v>28.8</v>
      </c>
      <c r="I256">
        <v>10</v>
      </c>
      <c r="L256">
        <v>4</v>
      </c>
      <c r="M256">
        <v>4</v>
      </c>
      <c r="N256">
        <v>4</v>
      </c>
      <c r="O256">
        <v>0</v>
      </c>
      <c r="P256">
        <v>46.8</v>
      </c>
      <c r="Q256">
        <v>82</v>
      </c>
      <c r="R256">
        <v>82</v>
      </c>
      <c r="S256">
        <v>0</v>
      </c>
      <c r="T256">
        <v>0</v>
      </c>
      <c r="U256" s="1">
        <v>0</v>
      </c>
      <c r="V256">
        <v>128.8</v>
      </c>
    </row>
    <row r="257" spans="1:22" ht="15">
      <c r="A257" s="4">
        <v>250</v>
      </c>
      <c r="B257">
        <v>2324</v>
      </c>
      <c r="C257" t="s">
        <v>681</v>
      </c>
      <c r="D257" t="s">
        <v>480</v>
      </c>
      <c r="E257" t="s">
        <v>19</v>
      </c>
      <c r="F257" t="s">
        <v>682</v>
      </c>
      <c r="G257" t="str">
        <f>"00505442"</f>
        <v>00505442</v>
      </c>
      <c r="H257">
        <v>28.8</v>
      </c>
      <c r="I257">
        <v>0</v>
      </c>
      <c r="L257">
        <v>4</v>
      </c>
      <c r="M257">
        <v>4</v>
      </c>
      <c r="N257">
        <v>4</v>
      </c>
      <c r="O257">
        <v>0</v>
      </c>
      <c r="P257">
        <v>36.8</v>
      </c>
      <c r="Q257">
        <v>92</v>
      </c>
      <c r="R257">
        <v>92</v>
      </c>
      <c r="S257">
        <v>0</v>
      </c>
      <c r="T257">
        <v>0</v>
      </c>
      <c r="U257" s="1">
        <v>0</v>
      </c>
      <c r="V257">
        <v>128.8</v>
      </c>
    </row>
    <row r="258" spans="1:22" ht="15">
      <c r="A258" s="4">
        <v>251</v>
      </c>
      <c r="B258">
        <v>146</v>
      </c>
      <c r="C258" t="s">
        <v>683</v>
      </c>
      <c r="D258" t="s">
        <v>127</v>
      </c>
      <c r="E258" t="s">
        <v>19</v>
      </c>
      <c r="F258" t="s">
        <v>684</v>
      </c>
      <c r="G258" t="str">
        <f>"00480347"</f>
        <v>00480347</v>
      </c>
      <c r="H258">
        <v>50.4</v>
      </c>
      <c r="I258">
        <v>0</v>
      </c>
      <c r="L258">
        <v>4</v>
      </c>
      <c r="M258">
        <v>0</v>
      </c>
      <c r="N258">
        <v>4</v>
      </c>
      <c r="O258">
        <v>0</v>
      </c>
      <c r="P258">
        <v>54.4</v>
      </c>
      <c r="Q258">
        <v>68</v>
      </c>
      <c r="R258">
        <v>68</v>
      </c>
      <c r="S258">
        <v>6</v>
      </c>
      <c r="T258">
        <v>0</v>
      </c>
      <c r="U258" s="1">
        <v>0</v>
      </c>
      <c r="V258">
        <v>128.4</v>
      </c>
    </row>
    <row r="259" spans="1:22" ht="15">
      <c r="A259" s="4">
        <v>252</v>
      </c>
      <c r="B259">
        <v>69</v>
      </c>
      <c r="C259" t="s">
        <v>685</v>
      </c>
      <c r="D259" t="s">
        <v>686</v>
      </c>
      <c r="E259" t="s">
        <v>11</v>
      </c>
      <c r="F259" t="s">
        <v>687</v>
      </c>
      <c r="G259" t="str">
        <f>"00484811"</f>
        <v>00484811</v>
      </c>
      <c r="H259">
        <v>43.2</v>
      </c>
      <c r="I259">
        <v>0</v>
      </c>
      <c r="K259">
        <v>6</v>
      </c>
      <c r="M259">
        <v>4</v>
      </c>
      <c r="N259">
        <v>6</v>
      </c>
      <c r="O259">
        <v>0</v>
      </c>
      <c r="P259">
        <v>53.2</v>
      </c>
      <c r="Q259">
        <v>69</v>
      </c>
      <c r="R259">
        <v>69</v>
      </c>
      <c r="S259">
        <v>6</v>
      </c>
      <c r="T259">
        <v>0</v>
      </c>
      <c r="U259" s="1">
        <v>0</v>
      </c>
      <c r="V259">
        <v>128.2</v>
      </c>
    </row>
    <row r="260" spans="1:22" ht="15">
      <c r="A260" s="4">
        <v>253</v>
      </c>
      <c r="B260">
        <v>1906</v>
      </c>
      <c r="C260" t="s">
        <v>688</v>
      </c>
      <c r="D260" t="s">
        <v>58</v>
      </c>
      <c r="E260" t="s">
        <v>83</v>
      </c>
      <c r="F260" t="s">
        <v>689</v>
      </c>
      <c r="G260" t="str">
        <f>"00485077"</f>
        <v>00485077</v>
      </c>
      <c r="H260">
        <v>40</v>
      </c>
      <c r="I260">
        <v>10</v>
      </c>
      <c r="L260">
        <v>4</v>
      </c>
      <c r="M260">
        <v>4</v>
      </c>
      <c r="N260">
        <v>4</v>
      </c>
      <c r="O260">
        <v>2</v>
      </c>
      <c r="P260">
        <v>60</v>
      </c>
      <c r="Q260">
        <v>68</v>
      </c>
      <c r="R260">
        <v>68</v>
      </c>
      <c r="S260">
        <v>0</v>
      </c>
      <c r="T260">
        <v>0</v>
      </c>
      <c r="U260" s="1">
        <v>0</v>
      </c>
      <c r="V260">
        <v>128</v>
      </c>
    </row>
    <row r="261" spans="1:22" ht="15">
      <c r="A261" s="4">
        <v>254</v>
      </c>
      <c r="B261">
        <v>554</v>
      </c>
      <c r="C261" t="s">
        <v>17</v>
      </c>
      <c r="D261" t="s">
        <v>643</v>
      </c>
      <c r="E261" t="s">
        <v>51</v>
      </c>
      <c r="F261" t="s">
        <v>690</v>
      </c>
      <c r="G261" t="str">
        <f>"00502425"</f>
        <v>00502425</v>
      </c>
      <c r="H261">
        <v>36</v>
      </c>
      <c r="I261">
        <v>0</v>
      </c>
      <c r="J261">
        <v>8</v>
      </c>
      <c r="M261">
        <v>4</v>
      </c>
      <c r="N261">
        <v>8</v>
      </c>
      <c r="O261">
        <v>0</v>
      </c>
      <c r="P261">
        <v>48</v>
      </c>
      <c r="Q261">
        <v>74</v>
      </c>
      <c r="R261">
        <v>74</v>
      </c>
      <c r="S261">
        <v>6</v>
      </c>
      <c r="T261">
        <v>0</v>
      </c>
      <c r="U261" s="1">
        <v>0</v>
      </c>
      <c r="V261">
        <v>128</v>
      </c>
    </row>
    <row r="262" spans="1:22" ht="15">
      <c r="A262" s="4">
        <v>255</v>
      </c>
      <c r="B262">
        <v>945</v>
      </c>
      <c r="C262" t="s">
        <v>691</v>
      </c>
      <c r="D262" t="s">
        <v>692</v>
      </c>
      <c r="E262" t="s">
        <v>30</v>
      </c>
      <c r="F262" t="s">
        <v>693</v>
      </c>
      <c r="G262" t="str">
        <f>"00503476"</f>
        <v>00503476</v>
      </c>
      <c r="H262">
        <v>28.8</v>
      </c>
      <c r="I262">
        <v>0</v>
      </c>
      <c r="M262">
        <v>0</v>
      </c>
      <c r="N262">
        <v>0</v>
      </c>
      <c r="O262">
        <v>0</v>
      </c>
      <c r="P262">
        <v>28.8</v>
      </c>
      <c r="Q262">
        <v>96</v>
      </c>
      <c r="R262">
        <v>96</v>
      </c>
      <c r="S262">
        <v>3</v>
      </c>
      <c r="T262">
        <v>0</v>
      </c>
      <c r="U262" s="1">
        <v>0</v>
      </c>
      <c r="V262">
        <v>127.8</v>
      </c>
    </row>
    <row r="263" spans="1:22" ht="15">
      <c r="A263" s="4">
        <v>256</v>
      </c>
      <c r="B263">
        <v>1323</v>
      </c>
      <c r="C263" t="s">
        <v>694</v>
      </c>
      <c r="D263" t="s">
        <v>72</v>
      </c>
      <c r="E263" t="s">
        <v>317</v>
      </c>
      <c r="F263" t="s">
        <v>695</v>
      </c>
      <c r="G263" t="str">
        <f>"00474308"</f>
        <v>00474308</v>
      </c>
      <c r="H263">
        <v>21.6</v>
      </c>
      <c r="I263">
        <v>10</v>
      </c>
      <c r="M263">
        <v>0</v>
      </c>
      <c r="N263">
        <v>0</v>
      </c>
      <c r="O263">
        <v>0</v>
      </c>
      <c r="P263">
        <v>31.6</v>
      </c>
      <c r="Q263">
        <v>93</v>
      </c>
      <c r="R263">
        <v>93</v>
      </c>
      <c r="S263">
        <v>3</v>
      </c>
      <c r="T263">
        <v>0</v>
      </c>
      <c r="U263" s="1">
        <v>0</v>
      </c>
      <c r="V263">
        <v>127.6</v>
      </c>
    </row>
    <row r="264" spans="1:22" ht="15">
      <c r="A264" s="4">
        <v>257</v>
      </c>
      <c r="B264">
        <v>2685</v>
      </c>
      <c r="C264" t="s">
        <v>696</v>
      </c>
      <c r="D264" t="s">
        <v>697</v>
      </c>
      <c r="E264" t="s">
        <v>30</v>
      </c>
      <c r="F264" t="s">
        <v>698</v>
      </c>
      <c r="G264" t="str">
        <f>"00442244"</f>
        <v>00442244</v>
      </c>
      <c r="H264">
        <v>50.4</v>
      </c>
      <c r="I264">
        <v>10</v>
      </c>
      <c r="M264">
        <v>0</v>
      </c>
      <c r="N264">
        <v>0</v>
      </c>
      <c r="O264">
        <v>0</v>
      </c>
      <c r="P264">
        <v>60.4</v>
      </c>
      <c r="Q264">
        <v>67</v>
      </c>
      <c r="R264">
        <v>67</v>
      </c>
      <c r="S264">
        <v>0</v>
      </c>
      <c r="T264">
        <v>0</v>
      </c>
      <c r="U264" s="1">
        <v>0</v>
      </c>
      <c r="V264">
        <v>127.4</v>
      </c>
    </row>
    <row r="265" spans="1:22" ht="15">
      <c r="A265" s="4">
        <v>258</v>
      </c>
      <c r="B265">
        <v>2613</v>
      </c>
      <c r="C265" t="s">
        <v>699</v>
      </c>
      <c r="D265" t="s">
        <v>480</v>
      </c>
      <c r="E265" t="s">
        <v>73</v>
      </c>
      <c r="F265" t="s">
        <v>700</v>
      </c>
      <c r="G265" t="str">
        <f>"00531090"</f>
        <v>00531090</v>
      </c>
      <c r="H265">
        <v>32.88</v>
      </c>
      <c r="I265">
        <v>0</v>
      </c>
      <c r="M265">
        <v>4</v>
      </c>
      <c r="N265">
        <v>0</v>
      </c>
      <c r="O265">
        <v>0</v>
      </c>
      <c r="P265">
        <v>36.88</v>
      </c>
      <c r="Q265">
        <v>84</v>
      </c>
      <c r="R265">
        <v>84</v>
      </c>
      <c r="S265">
        <v>6</v>
      </c>
      <c r="T265">
        <v>0</v>
      </c>
      <c r="U265" s="1">
        <v>0</v>
      </c>
      <c r="V265">
        <v>126.88</v>
      </c>
    </row>
    <row r="266" spans="1:22" ht="15">
      <c r="A266" s="4">
        <v>259</v>
      </c>
      <c r="B266">
        <v>244</v>
      </c>
      <c r="C266" t="s">
        <v>701</v>
      </c>
      <c r="D266" t="s">
        <v>102</v>
      </c>
      <c r="E266" t="s">
        <v>225</v>
      </c>
      <c r="F266" t="s">
        <v>702</v>
      </c>
      <c r="G266" t="str">
        <f>"00515526"</f>
        <v>00515526</v>
      </c>
      <c r="H266">
        <v>21.6</v>
      </c>
      <c r="I266">
        <v>0</v>
      </c>
      <c r="M266">
        <v>4</v>
      </c>
      <c r="N266">
        <v>0</v>
      </c>
      <c r="O266">
        <v>0</v>
      </c>
      <c r="P266">
        <v>25.6</v>
      </c>
      <c r="Q266">
        <v>98</v>
      </c>
      <c r="R266">
        <v>98</v>
      </c>
      <c r="S266">
        <v>3</v>
      </c>
      <c r="T266">
        <v>0</v>
      </c>
      <c r="U266" s="1">
        <v>0</v>
      </c>
      <c r="V266">
        <v>126.6</v>
      </c>
    </row>
    <row r="267" spans="1:22" ht="15">
      <c r="A267" s="4">
        <v>260</v>
      </c>
      <c r="B267">
        <v>1318</v>
      </c>
      <c r="C267" t="s">
        <v>703</v>
      </c>
      <c r="D267" t="s">
        <v>14</v>
      </c>
      <c r="E267" t="s">
        <v>23</v>
      </c>
      <c r="F267" t="s">
        <v>704</v>
      </c>
      <c r="G267" t="str">
        <f>"00483664"</f>
        <v>00483664</v>
      </c>
      <c r="H267">
        <v>50.4</v>
      </c>
      <c r="I267">
        <v>0</v>
      </c>
      <c r="M267">
        <v>4</v>
      </c>
      <c r="N267">
        <v>0</v>
      </c>
      <c r="O267">
        <v>0</v>
      </c>
      <c r="P267">
        <v>54.4</v>
      </c>
      <c r="Q267">
        <v>69</v>
      </c>
      <c r="R267">
        <v>69</v>
      </c>
      <c r="S267">
        <v>3</v>
      </c>
      <c r="T267">
        <v>0</v>
      </c>
      <c r="U267" s="1">
        <v>0</v>
      </c>
      <c r="V267">
        <v>126.4</v>
      </c>
    </row>
    <row r="268" spans="1:22" ht="15">
      <c r="A268" s="4">
        <v>261</v>
      </c>
      <c r="B268">
        <v>203</v>
      </c>
      <c r="C268" t="s">
        <v>705</v>
      </c>
      <c r="D268" t="s">
        <v>706</v>
      </c>
      <c r="E268" t="s">
        <v>11</v>
      </c>
      <c r="F268" t="s">
        <v>707</v>
      </c>
      <c r="G268" t="str">
        <f>"00485483"</f>
        <v>00485483</v>
      </c>
      <c r="H268">
        <v>50.4</v>
      </c>
      <c r="I268">
        <v>0</v>
      </c>
      <c r="L268">
        <v>4</v>
      </c>
      <c r="M268">
        <v>0</v>
      </c>
      <c r="N268">
        <v>4</v>
      </c>
      <c r="O268">
        <v>0</v>
      </c>
      <c r="P268">
        <v>54.4</v>
      </c>
      <c r="Q268">
        <v>69</v>
      </c>
      <c r="R268">
        <v>69</v>
      </c>
      <c r="S268">
        <v>3</v>
      </c>
      <c r="T268">
        <v>0</v>
      </c>
      <c r="U268" s="1">
        <v>0</v>
      </c>
      <c r="V268">
        <v>126.4</v>
      </c>
    </row>
    <row r="269" spans="1:22" ht="15">
      <c r="A269" s="4">
        <v>262</v>
      </c>
      <c r="B269">
        <v>2690</v>
      </c>
      <c r="C269" t="s">
        <v>708</v>
      </c>
      <c r="D269" t="s">
        <v>211</v>
      </c>
      <c r="E269" t="s">
        <v>19</v>
      </c>
      <c r="F269" t="s">
        <v>709</v>
      </c>
      <c r="G269" t="str">
        <f>"00509227"</f>
        <v>00509227</v>
      </c>
      <c r="H269">
        <v>32.36</v>
      </c>
      <c r="I269">
        <v>0</v>
      </c>
      <c r="L269">
        <v>4</v>
      </c>
      <c r="M269">
        <v>4</v>
      </c>
      <c r="N269">
        <v>4</v>
      </c>
      <c r="O269">
        <v>0</v>
      </c>
      <c r="P269">
        <v>40.36</v>
      </c>
      <c r="Q269">
        <v>86</v>
      </c>
      <c r="R269">
        <v>86</v>
      </c>
      <c r="S269">
        <v>0</v>
      </c>
      <c r="T269">
        <v>0</v>
      </c>
      <c r="U269" s="1">
        <v>0</v>
      </c>
      <c r="V269">
        <v>126.36</v>
      </c>
    </row>
    <row r="270" spans="1:22" ht="15">
      <c r="A270" s="4">
        <v>263</v>
      </c>
      <c r="B270">
        <v>1595</v>
      </c>
      <c r="C270" t="s">
        <v>710</v>
      </c>
      <c r="D270" t="s">
        <v>711</v>
      </c>
      <c r="E270" t="s">
        <v>712</v>
      </c>
      <c r="F270" t="s">
        <v>713</v>
      </c>
      <c r="G270" t="str">
        <f>"00441880"</f>
        <v>00441880</v>
      </c>
      <c r="H270">
        <v>43.2</v>
      </c>
      <c r="I270">
        <v>10</v>
      </c>
      <c r="M270">
        <v>4</v>
      </c>
      <c r="N270">
        <v>0</v>
      </c>
      <c r="O270">
        <v>0</v>
      </c>
      <c r="P270">
        <v>57.2</v>
      </c>
      <c r="Q270">
        <v>69</v>
      </c>
      <c r="R270">
        <v>69</v>
      </c>
      <c r="S270">
        <v>0</v>
      </c>
      <c r="T270">
        <v>0</v>
      </c>
      <c r="U270" s="1">
        <v>0</v>
      </c>
      <c r="V270">
        <v>126.2</v>
      </c>
    </row>
    <row r="271" spans="1:22" ht="15">
      <c r="A271" s="4">
        <v>264</v>
      </c>
      <c r="B271">
        <v>2881</v>
      </c>
      <c r="C271" t="s">
        <v>714</v>
      </c>
      <c r="D271" t="s">
        <v>453</v>
      </c>
      <c r="E271" t="s">
        <v>197</v>
      </c>
      <c r="F271" t="s">
        <v>715</v>
      </c>
      <c r="G271" t="str">
        <f>"00512849"</f>
        <v>00512849</v>
      </c>
      <c r="H271">
        <v>0</v>
      </c>
      <c r="I271">
        <v>0</v>
      </c>
      <c r="L271">
        <v>4</v>
      </c>
      <c r="M271">
        <v>4</v>
      </c>
      <c r="N271">
        <v>4</v>
      </c>
      <c r="O271">
        <v>0</v>
      </c>
      <c r="P271">
        <v>8</v>
      </c>
      <c r="Q271">
        <v>109</v>
      </c>
      <c r="R271">
        <v>109</v>
      </c>
      <c r="S271">
        <v>9</v>
      </c>
      <c r="T271">
        <v>0</v>
      </c>
      <c r="U271" s="1">
        <v>0</v>
      </c>
      <c r="V271">
        <v>126</v>
      </c>
    </row>
    <row r="272" spans="1:22" ht="15">
      <c r="A272" s="4">
        <v>265</v>
      </c>
      <c r="B272">
        <v>39</v>
      </c>
      <c r="C272" t="s">
        <v>716</v>
      </c>
      <c r="D272" t="s">
        <v>59</v>
      </c>
      <c r="E272" t="s">
        <v>23</v>
      </c>
      <c r="F272" t="s">
        <v>717</v>
      </c>
      <c r="G272" t="str">
        <f>"00440829"</f>
        <v>00440829</v>
      </c>
      <c r="H272">
        <v>28.44</v>
      </c>
      <c r="I272">
        <v>0</v>
      </c>
      <c r="M272">
        <v>4</v>
      </c>
      <c r="N272">
        <v>0</v>
      </c>
      <c r="O272">
        <v>0</v>
      </c>
      <c r="P272">
        <v>32.44</v>
      </c>
      <c r="Q272">
        <v>87</v>
      </c>
      <c r="R272">
        <v>87</v>
      </c>
      <c r="S272">
        <v>6</v>
      </c>
      <c r="T272">
        <v>0</v>
      </c>
      <c r="U272" s="1">
        <v>0</v>
      </c>
      <c r="V272">
        <v>125.44</v>
      </c>
    </row>
    <row r="273" spans="1:22" ht="15">
      <c r="A273" s="4">
        <v>266</v>
      </c>
      <c r="B273">
        <v>2023</v>
      </c>
      <c r="C273" t="s">
        <v>718</v>
      </c>
      <c r="D273" t="s">
        <v>102</v>
      </c>
      <c r="E273" t="s">
        <v>19</v>
      </c>
      <c r="F273" t="s">
        <v>719</v>
      </c>
      <c r="G273" t="str">
        <f>"00530535"</f>
        <v>00530535</v>
      </c>
      <c r="H273">
        <v>50.4</v>
      </c>
      <c r="I273">
        <v>0</v>
      </c>
      <c r="J273">
        <v>8</v>
      </c>
      <c r="L273">
        <v>4</v>
      </c>
      <c r="M273">
        <v>4</v>
      </c>
      <c r="N273">
        <v>12</v>
      </c>
      <c r="O273">
        <v>0</v>
      </c>
      <c r="P273">
        <v>66.4</v>
      </c>
      <c r="Q273">
        <v>53</v>
      </c>
      <c r="R273">
        <v>53</v>
      </c>
      <c r="S273">
        <v>6</v>
      </c>
      <c r="T273">
        <v>0</v>
      </c>
      <c r="U273" s="1">
        <v>0</v>
      </c>
      <c r="V273">
        <v>125.4</v>
      </c>
    </row>
    <row r="274" spans="1:22" ht="15">
      <c r="A274" s="4">
        <v>267</v>
      </c>
      <c r="B274">
        <v>1922</v>
      </c>
      <c r="C274" t="s">
        <v>720</v>
      </c>
      <c r="D274" t="s">
        <v>102</v>
      </c>
      <c r="E274" t="s">
        <v>11</v>
      </c>
      <c r="F274" t="s">
        <v>721</v>
      </c>
      <c r="G274" t="str">
        <f>"00441512"</f>
        <v>00441512</v>
      </c>
      <c r="H274">
        <v>36</v>
      </c>
      <c r="I274">
        <v>0</v>
      </c>
      <c r="L274">
        <v>4</v>
      </c>
      <c r="M274">
        <v>4</v>
      </c>
      <c r="N274">
        <v>4</v>
      </c>
      <c r="O274">
        <v>2</v>
      </c>
      <c r="P274">
        <v>46</v>
      </c>
      <c r="Q274">
        <v>76</v>
      </c>
      <c r="R274">
        <v>76</v>
      </c>
      <c r="S274">
        <v>3</v>
      </c>
      <c r="T274">
        <v>0</v>
      </c>
      <c r="U274" s="1">
        <v>0</v>
      </c>
      <c r="V274">
        <v>125</v>
      </c>
    </row>
    <row r="275" spans="1:22" ht="15">
      <c r="A275" s="4">
        <v>268</v>
      </c>
      <c r="B275">
        <v>3295</v>
      </c>
      <c r="C275" t="s">
        <v>722</v>
      </c>
      <c r="D275" t="s">
        <v>723</v>
      </c>
      <c r="E275" t="s">
        <v>712</v>
      </c>
      <c r="F275" t="s">
        <v>724</v>
      </c>
      <c r="G275" t="str">
        <f>"00533297"</f>
        <v>00533297</v>
      </c>
      <c r="H275">
        <v>40</v>
      </c>
      <c r="I275">
        <v>0</v>
      </c>
      <c r="M275">
        <v>4</v>
      </c>
      <c r="N275">
        <v>0</v>
      </c>
      <c r="O275">
        <v>0</v>
      </c>
      <c r="P275">
        <v>44</v>
      </c>
      <c r="Q275">
        <v>78</v>
      </c>
      <c r="R275">
        <v>78</v>
      </c>
      <c r="S275">
        <v>3</v>
      </c>
      <c r="T275">
        <v>0</v>
      </c>
      <c r="U275" s="1">
        <v>0</v>
      </c>
      <c r="V275">
        <v>125</v>
      </c>
    </row>
    <row r="276" spans="1:22" ht="15">
      <c r="A276" s="4">
        <v>269</v>
      </c>
      <c r="B276">
        <v>2736</v>
      </c>
      <c r="C276" t="s">
        <v>725</v>
      </c>
      <c r="D276" t="s">
        <v>580</v>
      </c>
      <c r="E276" t="s">
        <v>726</v>
      </c>
      <c r="F276" t="s">
        <v>727</v>
      </c>
      <c r="G276" t="str">
        <f>"00530183"</f>
        <v>00530183</v>
      </c>
      <c r="H276">
        <v>21.6</v>
      </c>
      <c r="I276">
        <v>0</v>
      </c>
      <c r="M276">
        <v>0</v>
      </c>
      <c r="N276">
        <v>0</v>
      </c>
      <c r="O276">
        <v>0</v>
      </c>
      <c r="P276">
        <v>21.6</v>
      </c>
      <c r="Q276">
        <v>103</v>
      </c>
      <c r="R276">
        <v>103</v>
      </c>
      <c r="S276">
        <v>0</v>
      </c>
      <c r="T276">
        <v>0</v>
      </c>
      <c r="U276" s="1">
        <v>0</v>
      </c>
      <c r="V276">
        <v>124.6</v>
      </c>
    </row>
    <row r="277" spans="1:22" ht="15">
      <c r="A277" s="4">
        <v>270</v>
      </c>
      <c r="B277">
        <v>412</v>
      </c>
      <c r="C277" t="s">
        <v>728</v>
      </c>
      <c r="D277" t="s">
        <v>76</v>
      </c>
      <c r="E277" t="s">
        <v>90</v>
      </c>
      <c r="F277" t="s">
        <v>729</v>
      </c>
      <c r="G277" t="str">
        <f>"00493582"</f>
        <v>00493582</v>
      </c>
      <c r="H277">
        <v>57.6</v>
      </c>
      <c r="I277">
        <v>0</v>
      </c>
      <c r="M277">
        <v>4</v>
      </c>
      <c r="N277">
        <v>0</v>
      </c>
      <c r="O277">
        <v>2</v>
      </c>
      <c r="P277">
        <v>63.6</v>
      </c>
      <c r="Q277">
        <v>61</v>
      </c>
      <c r="R277">
        <v>61</v>
      </c>
      <c r="S277">
        <v>0</v>
      </c>
      <c r="T277">
        <v>0</v>
      </c>
      <c r="U277" s="1">
        <v>0</v>
      </c>
      <c r="V277">
        <v>124.6</v>
      </c>
    </row>
    <row r="278" spans="1:22" ht="15">
      <c r="A278" s="4">
        <v>271</v>
      </c>
      <c r="B278">
        <v>3018</v>
      </c>
      <c r="C278" t="s">
        <v>730</v>
      </c>
      <c r="D278" t="s">
        <v>731</v>
      </c>
      <c r="E278" t="s">
        <v>732</v>
      </c>
      <c r="F278" t="s">
        <v>733</v>
      </c>
      <c r="G278" t="str">
        <f>"00511301"</f>
        <v>00511301</v>
      </c>
      <c r="H278">
        <v>50.4</v>
      </c>
      <c r="I278">
        <v>10</v>
      </c>
      <c r="L278">
        <v>4</v>
      </c>
      <c r="M278">
        <v>4</v>
      </c>
      <c r="N278">
        <v>4</v>
      </c>
      <c r="O278">
        <v>0</v>
      </c>
      <c r="P278">
        <v>68.4</v>
      </c>
      <c r="Q278">
        <v>50</v>
      </c>
      <c r="R278">
        <v>50</v>
      </c>
      <c r="S278">
        <v>6</v>
      </c>
      <c r="T278">
        <v>0</v>
      </c>
      <c r="U278" s="1">
        <v>0</v>
      </c>
      <c r="V278">
        <v>124.4</v>
      </c>
    </row>
    <row r="279" spans="1:22" ht="15">
      <c r="A279" s="4">
        <v>272</v>
      </c>
      <c r="B279">
        <v>3045</v>
      </c>
      <c r="C279" t="s">
        <v>734</v>
      </c>
      <c r="D279" t="s">
        <v>735</v>
      </c>
      <c r="E279" t="s">
        <v>90</v>
      </c>
      <c r="F279" t="s">
        <v>736</v>
      </c>
      <c r="G279" t="str">
        <f>"00513861"</f>
        <v>00513861</v>
      </c>
      <c r="H279">
        <v>50.4</v>
      </c>
      <c r="I279">
        <v>10</v>
      </c>
      <c r="L279">
        <v>4</v>
      </c>
      <c r="M279">
        <v>4</v>
      </c>
      <c r="N279">
        <v>4</v>
      </c>
      <c r="O279">
        <v>0</v>
      </c>
      <c r="P279">
        <v>68.4</v>
      </c>
      <c r="Q279">
        <v>50</v>
      </c>
      <c r="R279">
        <v>50</v>
      </c>
      <c r="S279">
        <v>6</v>
      </c>
      <c r="T279">
        <v>0</v>
      </c>
      <c r="U279" s="1">
        <v>0</v>
      </c>
      <c r="V279">
        <v>124.4</v>
      </c>
    </row>
    <row r="280" spans="1:22" ht="15">
      <c r="A280" s="4">
        <v>273</v>
      </c>
      <c r="B280">
        <v>3333</v>
      </c>
      <c r="C280" t="s">
        <v>737</v>
      </c>
      <c r="D280" t="s">
        <v>333</v>
      </c>
      <c r="E280" t="s">
        <v>738</v>
      </c>
      <c r="F280" t="s">
        <v>739</v>
      </c>
      <c r="G280" t="str">
        <f>"00089676"</f>
        <v>00089676</v>
      </c>
      <c r="H280">
        <v>14.4</v>
      </c>
      <c r="I280">
        <v>0</v>
      </c>
      <c r="L280">
        <v>4</v>
      </c>
      <c r="M280">
        <v>4</v>
      </c>
      <c r="N280">
        <v>4</v>
      </c>
      <c r="O280">
        <v>0</v>
      </c>
      <c r="P280">
        <v>22.4</v>
      </c>
      <c r="Q280">
        <v>96</v>
      </c>
      <c r="R280">
        <v>96</v>
      </c>
      <c r="S280">
        <v>6</v>
      </c>
      <c r="T280">
        <v>0</v>
      </c>
      <c r="U280" s="1">
        <v>0</v>
      </c>
      <c r="V280">
        <v>124.4</v>
      </c>
    </row>
    <row r="281" spans="1:22" ht="15">
      <c r="A281" s="4">
        <v>274</v>
      </c>
      <c r="B281">
        <v>252</v>
      </c>
      <c r="C281" t="s">
        <v>740</v>
      </c>
      <c r="D281" t="s">
        <v>121</v>
      </c>
      <c r="E281" t="s">
        <v>197</v>
      </c>
      <c r="F281" t="s">
        <v>741</v>
      </c>
      <c r="G281" t="str">
        <f>"00004758"</f>
        <v>00004758</v>
      </c>
      <c r="H281">
        <v>11.28</v>
      </c>
      <c r="I281">
        <v>0</v>
      </c>
      <c r="M281">
        <v>4</v>
      </c>
      <c r="N281">
        <v>0</v>
      </c>
      <c r="O281">
        <v>0</v>
      </c>
      <c r="P281">
        <v>15.28</v>
      </c>
      <c r="Q281">
        <v>106</v>
      </c>
      <c r="R281">
        <v>106</v>
      </c>
      <c r="S281">
        <v>3</v>
      </c>
      <c r="T281">
        <v>0</v>
      </c>
      <c r="U281" s="1">
        <v>0</v>
      </c>
      <c r="V281">
        <v>124.28</v>
      </c>
    </row>
    <row r="282" spans="1:22" ht="15">
      <c r="A282" s="4">
        <v>275</v>
      </c>
      <c r="B282">
        <v>3342</v>
      </c>
      <c r="C282" t="s">
        <v>742</v>
      </c>
      <c r="D282" t="s">
        <v>743</v>
      </c>
      <c r="E282" t="s">
        <v>157</v>
      </c>
      <c r="F282" t="s">
        <v>744</v>
      </c>
      <c r="G282" t="str">
        <f>"00533367"</f>
        <v>00533367</v>
      </c>
      <c r="H282">
        <v>43.2</v>
      </c>
      <c r="I282">
        <v>10</v>
      </c>
      <c r="L282">
        <v>8</v>
      </c>
      <c r="M282">
        <v>0</v>
      </c>
      <c r="N282">
        <v>8</v>
      </c>
      <c r="O282">
        <v>0</v>
      </c>
      <c r="P282">
        <v>61.2</v>
      </c>
      <c r="Q282">
        <v>60</v>
      </c>
      <c r="R282">
        <v>60</v>
      </c>
      <c r="S282">
        <v>3</v>
      </c>
      <c r="T282">
        <v>0</v>
      </c>
      <c r="U282" s="1">
        <v>0</v>
      </c>
      <c r="V282">
        <v>124.2</v>
      </c>
    </row>
    <row r="283" spans="1:22" ht="15">
      <c r="A283" s="4">
        <v>276</v>
      </c>
      <c r="B283">
        <v>832</v>
      </c>
      <c r="C283" t="s">
        <v>745</v>
      </c>
      <c r="D283" t="s">
        <v>746</v>
      </c>
      <c r="E283" t="s">
        <v>747</v>
      </c>
      <c r="F283" t="s">
        <v>748</v>
      </c>
      <c r="G283" t="str">
        <f>"00506480"</f>
        <v>00506480</v>
      </c>
      <c r="H283">
        <v>43.2</v>
      </c>
      <c r="I283">
        <v>0</v>
      </c>
      <c r="K283">
        <v>6</v>
      </c>
      <c r="M283">
        <v>0</v>
      </c>
      <c r="N283">
        <v>6</v>
      </c>
      <c r="O283">
        <v>0</v>
      </c>
      <c r="P283">
        <v>49.2</v>
      </c>
      <c r="Q283">
        <v>75</v>
      </c>
      <c r="R283">
        <v>75</v>
      </c>
      <c r="S283">
        <v>0</v>
      </c>
      <c r="T283">
        <v>0</v>
      </c>
      <c r="U283" s="1">
        <v>0</v>
      </c>
      <c r="V283">
        <v>124.2</v>
      </c>
    </row>
    <row r="284" spans="1:22" ht="15">
      <c r="A284" s="4">
        <v>277</v>
      </c>
      <c r="B284">
        <v>1646</v>
      </c>
      <c r="C284" t="s">
        <v>749</v>
      </c>
      <c r="D284" t="s">
        <v>750</v>
      </c>
      <c r="E284" t="s">
        <v>11</v>
      </c>
      <c r="F284" t="s">
        <v>751</v>
      </c>
      <c r="G284" t="str">
        <f>"00519901"</f>
        <v>00519901</v>
      </c>
      <c r="H284">
        <v>36</v>
      </c>
      <c r="I284">
        <v>10</v>
      </c>
      <c r="M284">
        <v>0</v>
      </c>
      <c r="N284">
        <v>0</v>
      </c>
      <c r="O284">
        <v>0</v>
      </c>
      <c r="P284">
        <v>46</v>
      </c>
      <c r="Q284">
        <v>78</v>
      </c>
      <c r="R284">
        <v>78</v>
      </c>
      <c r="S284">
        <v>0</v>
      </c>
      <c r="T284">
        <v>0</v>
      </c>
      <c r="U284" s="1">
        <v>0</v>
      </c>
      <c r="V284">
        <v>124</v>
      </c>
    </row>
    <row r="285" spans="1:22" ht="15">
      <c r="A285" s="4">
        <v>278</v>
      </c>
      <c r="B285">
        <v>2978</v>
      </c>
      <c r="C285" t="s">
        <v>752</v>
      </c>
      <c r="D285" t="s">
        <v>273</v>
      </c>
      <c r="E285" t="s">
        <v>131</v>
      </c>
      <c r="F285" t="s">
        <v>753</v>
      </c>
      <c r="G285" t="str">
        <f>"00513236"</f>
        <v>00513236</v>
      </c>
      <c r="H285">
        <v>28.8</v>
      </c>
      <c r="I285">
        <v>10</v>
      </c>
      <c r="K285">
        <v>6</v>
      </c>
      <c r="M285">
        <v>4</v>
      </c>
      <c r="N285">
        <v>6</v>
      </c>
      <c r="O285">
        <v>0</v>
      </c>
      <c r="P285">
        <v>48.8</v>
      </c>
      <c r="Q285">
        <v>75</v>
      </c>
      <c r="R285">
        <v>75</v>
      </c>
      <c r="S285">
        <v>0</v>
      </c>
      <c r="T285">
        <v>0</v>
      </c>
      <c r="U285" s="1">
        <v>0</v>
      </c>
      <c r="V285">
        <v>123.8</v>
      </c>
    </row>
    <row r="286" spans="1:22" ht="15">
      <c r="A286" s="4">
        <v>279</v>
      </c>
      <c r="B286">
        <v>2441</v>
      </c>
      <c r="C286" t="s">
        <v>754</v>
      </c>
      <c r="D286" t="s">
        <v>755</v>
      </c>
      <c r="E286" t="s">
        <v>99</v>
      </c>
      <c r="F286" t="s">
        <v>756</v>
      </c>
      <c r="G286" t="str">
        <f>"00483316"</f>
        <v>00483316</v>
      </c>
      <c r="H286">
        <v>21.6</v>
      </c>
      <c r="I286">
        <v>10</v>
      </c>
      <c r="M286">
        <v>4</v>
      </c>
      <c r="N286">
        <v>0</v>
      </c>
      <c r="O286">
        <v>0</v>
      </c>
      <c r="P286">
        <v>35.6</v>
      </c>
      <c r="Q286">
        <v>88</v>
      </c>
      <c r="R286">
        <v>88</v>
      </c>
      <c r="S286">
        <v>0</v>
      </c>
      <c r="T286">
        <v>0</v>
      </c>
      <c r="U286" s="1" t="s">
        <v>6251</v>
      </c>
      <c r="V286">
        <v>123.6</v>
      </c>
    </row>
    <row r="287" spans="1:22" ht="15">
      <c r="A287" s="4">
        <v>280</v>
      </c>
      <c r="B287">
        <v>908</v>
      </c>
      <c r="C287" t="s">
        <v>757</v>
      </c>
      <c r="D287" t="s">
        <v>333</v>
      </c>
      <c r="E287" t="s">
        <v>55</v>
      </c>
      <c r="F287" t="s">
        <v>758</v>
      </c>
      <c r="G287" t="str">
        <f>"00530709"</f>
        <v>00530709</v>
      </c>
      <c r="H287">
        <v>50.4</v>
      </c>
      <c r="I287">
        <v>0</v>
      </c>
      <c r="M287">
        <v>4</v>
      </c>
      <c r="N287">
        <v>0</v>
      </c>
      <c r="O287">
        <v>2</v>
      </c>
      <c r="P287">
        <v>56.4</v>
      </c>
      <c r="Q287">
        <v>61</v>
      </c>
      <c r="R287">
        <v>61</v>
      </c>
      <c r="S287">
        <v>6</v>
      </c>
      <c r="T287">
        <v>0</v>
      </c>
      <c r="U287" s="1">
        <v>0</v>
      </c>
      <c r="V287">
        <v>123.4</v>
      </c>
    </row>
    <row r="288" spans="1:22" ht="15">
      <c r="A288" s="4">
        <v>281</v>
      </c>
      <c r="B288">
        <v>2995</v>
      </c>
      <c r="C288" t="s">
        <v>759</v>
      </c>
      <c r="D288" t="s">
        <v>477</v>
      </c>
      <c r="E288" t="s">
        <v>11</v>
      </c>
      <c r="F288" t="s">
        <v>760</v>
      </c>
      <c r="G288" t="str">
        <f>"00520391"</f>
        <v>00520391</v>
      </c>
      <c r="H288">
        <v>35.08</v>
      </c>
      <c r="I288">
        <v>0</v>
      </c>
      <c r="J288">
        <v>8</v>
      </c>
      <c r="M288">
        <v>4</v>
      </c>
      <c r="N288">
        <v>8</v>
      </c>
      <c r="O288">
        <v>0</v>
      </c>
      <c r="P288">
        <v>47.08</v>
      </c>
      <c r="Q288">
        <v>70</v>
      </c>
      <c r="R288">
        <v>70</v>
      </c>
      <c r="S288">
        <v>6</v>
      </c>
      <c r="T288">
        <v>0</v>
      </c>
      <c r="U288" s="1">
        <v>0</v>
      </c>
      <c r="V288">
        <v>123.08</v>
      </c>
    </row>
    <row r="289" spans="1:22" ht="15">
      <c r="A289" s="4">
        <v>282</v>
      </c>
      <c r="B289">
        <v>3398</v>
      </c>
      <c r="C289" t="s">
        <v>244</v>
      </c>
      <c r="D289" t="s">
        <v>761</v>
      </c>
      <c r="E289" t="s">
        <v>83</v>
      </c>
      <c r="F289" t="s">
        <v>762</v>
      </c>
      <c r="G289" t="str">
        <f>"00202421"</f>
        <v>00202421</v>
      </c>
      <c r="H289">
        <v>43.2</v>
      </c>
      <c r="I289">
        <v>0</v>
      </c>
      <c r="L289">
        <v>4</v>
      </c>
      <c r="M289">
        <v>4</v>
      </c>
      <c r="N289">
        <v>4</v>
      </c>
      <c r="O289">
        <v>2</v>
      </c>
      <c r="P289">
        <v>53.2</v>
      </c>
      <c r="Q289">
        <v>69</v>
      </c>
      <c r="R289">
        <v>69</v>
      </c>
      <c r="S289">
        <v>0</v>
      </c>
      <c r="T289">
        <v>0</v>
      </c>
      <c r="U289" s="1">
        <v>0</v>
      </c>
      <c r="V289">
        <v>122.2</v>
      </c>
    </row>
    <row r="290" spans="1:22" ht="15">
      <c r="A290" s="4">
        <v>283</v>
      </c>
      <c r="B290">
        <v>37</v>
      </c>
      <c r="C290" t="s">
        <v>763</v>
      </c>
      <c r="D290" t="s">
        <v>643</v>
      </c>
      <c r="E290" t="s">
        <v>30</v>
      </c>
      <c r="F290" t="s">
        <v>764</v>
      </c>
      <c r="G290" t="str">
        <f>"00441641"</f>
        <v>00441641</v>
      </c>
      <c r="H290">
        <v>28</v>
      </c>
      <c r="I290">
        <v>10</v>
      </c>
      <c r="J290">
        <v>8</v>
      </c>
      <c r="M290">
        <v>4</v>
      </c>
      <c r="N290">
        <v>8</v>
      </c>
      <c r="O290">
        <v>0</v>
      </c>
      <c r="P290">
        <v>50</v>
      </c>
      <c r="Q290">
        <v>66</v>
      </c>
      <c r="R290">
        <v>66</v>
      </c>
      <c r="S290">
        <v>6</v>
      </c>
      <c r="T290">
        <v>0</v>
      </c>
      <c r="U290" s="1">
        <v>0</v>
      </c>
      <c r="V290">
        <v>122</v>
      </c>
    </row>
    <row r="291" spans="1:22" ht="15">
      <c r="A291" s="4">
        <v>284</v>
      </c>
      <c r="B291">
        <v>386</v>
      </c>
      <c r="C291" t="s">
        <v>765</v>
      </c>
      <c r="D291" t="s">
        <v>40</v>
      </c>
      <c r="E291" t="s">
        <v>83</v>
      </c>
      <c r="F291" t="s">
        <v>766</v>
      </c>
      <c r="G291" t="str">
        <f>"00517578"</f>
        <v>00517578</v>
      </c>
      <c r="H291">
        <v>36</v>
      </c>
      <c r="I291">
        <v>10</v>
      </c>
      <c r="L291">
        <v>4</v>
      </c>
      <c r="M291">
        <v>4</v>
      </c>
      <c r="N291">
        <v>4</v>
      </c>
      <c r="O291">
        <v>0</v>
      </c>
      <c r="P291">
        <v>54</v>
      </c>
      <c r="Q291">
        <v>62</v>
      </c>
      <c r="R291">
        <v>62</v>
      </c>
      <c r="S291">
        <v>6</v>
      </c>
      <c r="T291">
        <v>0</v>
      </c>
      <c r="U291" s="1">
        <v>0</v>
      </c>
      <c r="V291">
        <v>122</v>
      </c>
    </row>
    <row r="292" spans="1:22" ht="15">
      <c r="A292" s="4">
        <v>285</v>
      </c>
      <c r="B292">
        <v>2076</v>
      </c>
      <c r="C292" t="s">
        <v>767</v>
      </c>
      <c r="D292" t="s">
        <v>40</v>
      </c>
      <c r="E292" t="s">
        <v>11</v>
      </c>
      <c r="F292" t="s">
        <v>768</v>
      </c>
      <c r="G292" t="str">
        <f>"00509411"</f>
        <v>00509411</v>
      </c>
      <c r="H292">
        <v>57.6</v>
      </c>
      <c r="I292">
        <v>0</v>
      </c>
      <c r="M292">
        <v>4</v>
      </c>
      <c r="N292">
        <v>0</v>
      </c>
      <c r="O292">
        <v>0</v>
      </c>
      <c r="P292">
        <v>61.6</v>
      </c>
      <c r="Q292">
        <v>60</v>
      </c>
      <c r="R292">
        <v>60</v>
      </c>
      <c r="S292">
        <v>0</v>
      </c>
      <c r="T292">
        <v>0</v>
      </c>
      <c r="U292" s="1">
        <v>0</v>
      </c>
      <c r="V292">
        <v>121.6</v>
      </c>
    </row>
    <row r="293" spans="1:22" ht="15">
      <c r="A293" s="4">
        <v>286</v>
      </c>
      <c r="B293">
        <v>911</v>
      </c>
      <c r="C293" t="s">
        <v>769</v>
      </c>
      <c r="D293" t="s">
        <v>127</v>
      </c>
      <c r="E293" t="s">
        <v>19</v>
      </c>
      <c r="F293" t="s">
        <v>770</v>
      </c>
      <c r="G293" t="str">
        <f>"201307000053"</f>
        <v>201307000053</v>
      </c>
      <c r="H293">
        <v>39.6</v>
      </c>
      <c r="I293">
        <v>0</v>
      </c>
      <c r="M293">
        <v>4</v>
      </c>
      <c r="N293">
        <v>0</v>
      </c>
      <c r="O293">
        <v>0</v>
      </c>
      <c r="P293">
        <v>43.6</v>
      </c>
      <c r="Q293">
        <v>53</v>
      </c>
      <c r="R293">
        <v>53</v>
      </c>
      <c r="S293">
        <v>3</v>
      </c>
      <c r="T293">
        <v>22</v>
      </c>
      <c r="U293" s="1">
        <v>0</v>
      </c>
      <c r="V293">
        <v>121.6</v>
      </c>
    </row>
    <row r="294" spans="1:22" ht="15">
      <c r="A294" s="4">
        <v>287</v>
      </c>
      <c r="B294">
        <v>3078</v>
      </c>
      <c r="C294" t="s">
        <v>771</v>
      </c>
      <c r="D294" t="s">
        <v>772</v>
      </c>
      <c r="E294" t="s">
        <v>428</v>
      </c>
      <c r="F294" t="s">
        <v>773</v>
      </c>
      <c r="G294" t="str">
        <f>"00441975"</f>
        <v>00441975</v>
      </c>
      <c r="H294">
        <v>50.4</v>
      </c>
      <c r="I294">
        <v>10</v>
      </c>
      <c r="L294">
        <v>4</v>
      </c>
      <c r="M294">
        <v>4</v>
      </c>
      <c r="N294">
        <v>4</v>
      </c>
      <c r="O294">
        <v>0</v>
      </c>
      <c r="P294">
        <v>68.4</v>
      </c>
      <c r="Q294">
        <v>53</v>
      </c>
      <c r="R294">
        <v>53</v>
      </c>
      <c r="S294">
        <v>0</v>
      </c>
      <c r="T294">
        <v>0</v>
      </c>
      <c r="U294" s="1">
        <v>0</v>
      </c>
      <c r="V294">
        <v>121.4</v>
      </c>
    </row>
    <row r="295" spans="1:22" ht="15">
      <c r="A295" s="4">
        <v>288</v>
      </c>
      <c r="B295">
        <v>241</v>
      </c>
      <c r="C295" t="s">
        <v>774</v>
      </c>
      <c r="D295" t="s">
        <v>121</v>
      </c>
      <c r="E295" t="s">
        <v>90</v>
      </c>
      <c r="F295" t="s">
        <v>775</v>
      </c>
      <c r="G295" t="str">
        <f>"00528223"</f>
        <v>00528223</v>
      </c>
      <c r="H295">
        <v>43.2</v>
      </c>
      <c r="I295">
        <v>0</v>
      </c>
      <c r="J295">
        <v>8</v>
      </c>
      <c r="M295">
        <v>4</v>
      </c>
      <c r="N295">
        <v>8</v>
      </c>
      <c r="O295">
        <v>0</v>
      </c>
      <c r="P295">
        <v>55.2</v>
      </c>
      <c r="Q295">
        <v>60</v>
      </c>
      <c r="R295">
        <v>60</v>
      </c>
      <c r="S295">
        <v>6</v>
      </c>
      <c r="T295">
        <v>0</v>
      </c>
      <c r="U295" s="1">
        <v>0</v>
      </c>
      <c r="V295">
        <v>121.2</v>
      </c>
    </row>
    <row r="296" spans="1:22" ht="15">
      <c r="A296" s="4">
        <v>289</v>
      </c>
      <c r="B296">
        <v>1737</v>
      </c>
      <c r="C296" t="s">
        <v>776</v>
      </c>
      <c r="D296" t="s">
        <v>68</v>
      </c>
      <c r="E296" t="s">
        <v>15</v>
      </c>
      <c r="F296" t="s">
        <v>777</v>
      </c>
      <c r="G296" t="str">
        <f>"00517215"</f>
        <v>00517215</v>
      </c>
      <c r="H296">
        <v>36</v>
      </c>
      <c r="I296">
        <v>0</v>
      </c>
      <c r="M296">
        <v>4</v>
      </c>
      <c r="N296">
        <v>0</v>
      </c>
      <c r="O296">
        <v>0</v>
      </c>
      <c r="P296">
        <v>40</v>
      </c>
      <c r="Q296">
        <v>69</v>
      </c>
      <c r="R296">
        <v>69</v>
      </c>
      <c r="S296">
        <v>12</v>
      </c>
      <c r="T296">
        <v>0</v>
      </c>
      <c r="U296" s="1">
        <v>0</v>
      </c>
      <c r="V296">
        <v>121</v>
      </c>
    </row>
    <row r="297" spans="1:22" ht="15">
      <c r="A297" s="4">
        <v>290</v>
      </c>
      <c r="B297">
        <v>101</v>
      </c>
      <c r="C297" t="s">
        <v>778</v>
      </c>
      <c r="D297" t="s">
        <v>82</v>
      </c>
      <c r="E297" t="s">
        <v>385</v>
      </c>
      <c r="F297" t="s">
        <v>779</v>
      </c>
      <c r="G297" t="str">
        <f>"201002000153"</f>
        <v>201002000153</v>
      </c>
      <c r="H297">
        <v>36.88</v>
      </c>
      <c r="I297">
        <v>10</v>
      </c>
      <c r="L297">
        <v>4</v>
      </c>
      <c r="M297">
        <v>4</v>
      </c>
      <c r="N297">
        <v>4</v>
      </c>
      <c r="O297">
        <v>2</v>
      </c>
      <c r="P297">
        <v>56.88</v>
      </c>
      <c r="Q297">
        <v>61</v>
      </c>
      <c r="R297">
        <v>61</v>
      </c>
      <c r="S297">
        <v>3</v>
      </c>
      <c r="T297">
        <v>0</v>
      </c>
      <c r="U297" s="1">
        <v>0</v>
      </c>
      <c r="V297">
        <v>120.88</v>
      </c>
    </row>
    <row r="298" spans="1:22" ht="15">
      <c r="A298" s="4">
        <v>291</v>
      </c>
      <c r="B298">
        <v>96</v>
      </c>
      <c r="C298" t="s">
        <v>780</v>
      </c>
      <c r="D298" t="s">
        <v>697</v>
      </c>
      <c r="E298" t="s">
        <v>15</v>
      </c>
      <c r="F298" t="s">
        <v>781</v>
      </c>
      <c r="G298" t="str">
        <f>"00441616"</f>
        <v>00441616</v>
      </c>
      <c r="H298">
        <v>23.72</v>
      </c>
      <c r="I298">
        <v>10</v>
      </c>
      <c r="L298">
        <v>4</v>
      </c>
      <c r="M298">
        <v>0</v>
      </c>
      <c r="N298">
        <v>4</v>
      </c>
      <c r="O298">
        <v>0</v>
      </c>
      <c r="P298">
        <v>37.72</v>
      </c>
      <c r="Q298">
        <v>83</v>
      </c>
      <c r="R298">
        <v>83</v>
      </c>
      <c r="S298">
        <v>0</v>
      </c>
      <c r="T298">
        <v>0</v>
      </c>
      <c r="U298" s="1">
        <v>0</v>
      </c>
      <c r="V298">
        <v>120.72</v>
      </c>
    </row>
    <row r="299" spans="1:22" ht="15">
      <c r="A299" s="4">
        <v>292</v>
      </c>
      <c r="B299">
        <v>3073</v>
      </c>
      <c r="C299" t="s">
        <v>782</v>
      </c>
      <c r="D299" t="s">
        <v>127</v>
      </c>
      <c r="E299" t="s">
        <v>90</v>
      </c>
      <c r="F299" t="s">
        <v>783</v>
      </c>
      <c r="G299" t="str">
        <f>"00503755"</f>
        <v>00503755</v>
      </c>
      <c r="H299">
        <v>43.2</v>
      </c>
      <c r="I299">
        <v>0</v>
      </c>
      <c r="L299">
        <v>4</v>
      </c>
      <c r="M299">
        <v>4</v>
      </c>
      <c r="N299">
        <v>4</v>
      </c>
      <c r="O299">
        <v>0</v>
      </c>
      <c r="P299">
        <v>51.2</v>
      </c>
      <c r="Q299">
        <v>69</v>
      </c>
      <c r="R299">
        <v>69</v>
      </c>
      <c r="S299">
        <v>0</v>
      </c>
      <c r="T299">
        <v>0</v>
      </c>
      <c r="U299" s="1">
        <v>0</v>
      </c>
      <c r="V299">
        <v>120.2</v>
      </c>
    </row>
    <row r="300" spans="1:22" ht="15">
      <c r="A300" s="4">
        <v>293</v>
      </c>
      <c r="B300">
        <v>3083</v>
      </c>
      <c r="C300" t="s">
        <v>784</v>
      </c>
      <c r="D300" t="s">
        <v>127</v>
      </c>
      <c r="E300" t="s">
        <v>197</v>
      </c>
      <c r="F300" t="s">
        <v>785</v>
      </c>
      <c r="G300" t="str">
        <f>"00162487"</f>
        <v>00162487</v>
      </c>
      <c r="H300">
        <v>32.88</v>
      </c>
      <c r="I300">
        <v>0</v>
      </c>
      <c r="M300">
        <v>0</v>
      </c>
      <c r="N300">
        <v>0</v>
      </c>
      <c r="O300">
        <v>0</v>
      </c>
      <c r="P300">
        <v>32.88</v>
      </c>
      <c r="Q300">
        <v>84</v>
      </c>
      <c r="R300">
        <v>84</v>
      </c>
      <c r="S300">
        <v>3</v>
      </c>
      <c r="T300">
        <v>0</v>
      </c>
      <c r="U300" s="1">
        <v>0</v>
      </c>
      <c r="V300">
        <v>119.88</v>
      </c>
    </row>
    <row r="301" spans="1:22" ht="15">
      <c r="A301" s="4">
        <v>294</v>
      </c>
      <c r="B301">
        <v>994</v>
      </c>
      <c r="C301" t="s">
        <v>786</v>
      </c>
      <c r="D301" t="s">
        <v>787</v>
      </c>
      <c r="E301" t="s">
        <v>73</v>
      </c>
      <c r="F301" t="s">
        <v>788</v>
      </c>
      <c r="G301" t="str">
        <f>"00531495"</f>
        <v>00531495</v>
      </c>
      <c r="H301">
        <v>57.6</v>
      </c>
      <c r="I301">
        <v>0</v>
      </c>
      <c r="M301">
        <v>0</v>
      </c>
      <c r="N301">
        <v>0</v>
      </c>
      <c r="O301">
        <v>0</v>
      </c>
      <c r="P301">
        <v>57.6</v>
      </c>
      <c r="Q301">
        <v>62</v>
      </c>
      <c r="R301">
        <v>62</v>
      </c>
      <c r="S301">
        <v>0</v>
      </c>
      <c r="T301">
        <v>0</v>
      </c>
      <c r="U301" s="1">
        <v>0</v>
      </c>
      <c r="V301">
        <v>119.6</v>
      </c>
    </row>
    <row r="302" spans="1:22" ht="15">
      <c r="A302" s="4">
        <v>295</v>
      </c>
      <c r="B302">
        <v>2177</v>
      </c>
      <c r="C302" t="s">
        <v>789</v>
      </c>
      <c r="D302" t="s">
        <v>118</v>
      </c>
      <c r="E302" t="s">
        <v>73</v>
      </c>
      <c r="F302" t="s">
        <v>790</v>
      </c>
      <c r="G302" t="str">
        <f>"00513317"</f>
        <v>00513317</v>
      </c>
      <c r="H302">
        <v>64.8</v>
      </c>
      <c r="I302">
        <v>0</v>
      </c>
      <c r="L302">
        <v>4</v>
      </c>
      <c r="M302">
        <v>4</v>
      </c>
      <c r="N302">
        <v>4</v>
      </c>
      <c r="O302">
        <v>0</v>
      </c>
      <c r="P302">
        <v>72.8</v>
      </c>
      <c r="Q302">
        <v>8</v>
      </c>
      <c r="R302">
        <v>8</v>
      </c>
      <c r="S302">
        <v>6</v>
      </c>
      <c r="T302">
        <v>32.8</v>
      </c>
      <c r="U302" s="1">
        <v>0</v>
      </c>
      <c r="V302">
        <v>119.6</v>
      </c>
    </row>
    <row r="303" spans="1:22" ht="15">
      <c r="A303" s="4">
        <v>296</v>
      </c>
      <c r="B303">
        <v>764</v>
      </c>
      <c r="C303" t="s">
        <v>791</v>
      </c>
      <c r="D303" t="s">
        <v>189</v>
      </c>
      <c r="E303" t="s">
        <v>23</v>
      </c>
      <c r="F303" t="s">
        <v>792</v>
      </c>
      <c r="G303" t="str">
        <f>"00513191"</f>
        <v>00513191</v>
      </c>
      <c r="H303">
        <v>50.4</v>
      </c>
      <c r="I303">
        <v>0</v>
      </c>
      <c r="M303">
        <v>4</v>
      </c>
      <c r="N303">
        <v>0</v>
      </c>
      <c r="O303">
        <v>0</v>
      </c>
      <c r="P303">
        <v>54.4</v>
      </c>
      <c r="Q303">
        <v>65</v>
      </c>
      <c r="R303">
        <v>65</v>
      </c>
      <c r="S303">
        <v>0</v>
      </c>
      <c r="T303">
        <v>0</v>
      </c>
      <c r="U303" s="1">
        <v>0</v>
      </c>
      <c r="V303">
        <v>119.4</v>
      </c>
    </row>
    <row r="304" spans="1:22" ht="15">
      <c r="A304" s="4">
        <v>297</v>
      </c>
      <c r="B304">
        <v>197</v>
      </c>
      <c r="C304" t="s">
        <v>216</v>
      </c>
      <c r="D304" t="s">
        <v>89</v>
      </c>
      <c r="E304" t="s">
        <v>23</v>
      </c>
      <c r="F304" t="s">
        <v>793</v>
      </c>
      <c r="G304" t="str">
        <f>"00471871"</f>
        <v>00471871</v>
      </c>
      <c r="H304">
        <v>57.6</v>
      </c>
      <c r="I304">
        <v>10</v>
      </c>
      <c r="L304">
        <v>4</v>
      </c>
      <c r="M304">
        <v>4</v>
      </c>
      <c r="N304">
        <v>4</v>
      </c>
      <c r="O304">
        <v>0</v>
      </c>
      <c r="P304">
        <v>75.6</v>
      </c>
      <c r="Q304">
        <v>8</v>
      </c>
      <c r="R304">
        <v>8</v>
      </c>
      <c r="S304">
        <v>9</v>
      </c>
      <c r="T304">
        <v>26.8</v>
      </c>
      <c r="U304" s="1">
        <v>0</v>
      </c>
      <c r="V304">
        <v>119.4</v>
      </c>
    </row>
    <row r="305" spans="1:22" ht="15">
      <c r="A305" s="4">
        <v>298</v>
      </c>
      <c r="B305">
        <v>1107</v>
      </c>
      <c r="C305" t="s">
        <v>794</v>
      </c>
      <c r="D305" t="s">
        <v>496</v>
      </c>
      <c r="E305" t="s">
        <v>157</v>
      </c>
      <c r="F305" t="s">
        <v>795</v>
      </c>
      <c r="G305" t="str">
        <f>"00507482"</f>
        <v>00507482</v>
      </c>
      <c r="H305">
        <v>16.36</v>
      </c>
      <c r="I305">
        <v>0</v>
      </c>
      <c r="M305">
        <v>4</v>
      </c>
      <c r="N305">
        <v>0</v>
      </c>
      <c r="O305">
        <v>0</v>
      </c>
      <c r="P305">
        <v>20.36</v>
      </c>
      <c r="Q305">
        <v>93</v>
      </c>
      <c r="R305">
        <v>93</v>
      </c>
      <c r="S305">
        <v>6</v>
      </c>
      <c r="T305">
        <v>0</v>
      </c>
      <c r="U305" s="1">
        <v>0</v>
      </c>
      <c r="V305">
        <v>119.36</v>
      </c>
    </row>
    <row r="306" spans="1:22" ht="15">
      <c r="A306" s="4">
        <v>299</v>
      </c>
      <c r="B306">
        <v>3136</v>
      </c>
      <c r="C306" t="s">
        <v>796</v>
      </c>
      <c r="D306" t="s">
        <v>222</v>
      </c>
      <c r="E306" t="s">
        <v>797</v>
      </c>
      <c r="F306" t="s">
        <v>798</v>
      </c>
      <c r="G306" t="str">
        <f>"00503737"</f>
        <v>00503737</v>
      </c>
      <c r="H306">
        <v>43.2</v>
      </c>
      <c r="I306">
        <v>0</v>
      </c>
      <c r="M306">
        <v>4</v>
      </c>
      <c r="N306">
        <v>0</v>
      </c>
      <c r="O306">
        <v>0</v>
      </c>
      <c r="P306">
        <v>47.2</v>
      </c>
      <c r="Q306">
        <v>69</v>
      </c>
      <c r="R306">
        <v>69</v>
      </c>
      <c r="S306">
        <v>3</v>
      </c>
      <c r="T306">
        <v>0</v>
      </c>
      <c r="U306" s="1">
        <v>0</v>
      </c>
      <c r="V306">
        <v>119.2</v>
      </c>
    </row>
    <row r="307" spans="1:22" ht="15">
      <c r="A307" s="4">
        <v>300</v>
      </c>
      <c r="B307">
        <v>1000</v>
      </c>
      <c r="C307" t="s">
        <v>796</v>
      </c>
      <c r="D307" t="s">
        <v>799</v>
      </c>
      <c r="E307" t="s">
        <v>800</v>
      </c>
      <c r="F307" t="s">
        <v>801</v>
      </c>
      <c r="G307" t="str">
        <f>"00530877"</f>
        <v>00530877</v>
      </c>
      <c r="H307">
        <v>43.2</v>
      </c>
      <c r="I307">
        <v>0</v>
      </c>
      <c r="L307">
        <v>4</v>
      </c>
      <c r="M307">
        <v>0</v>
      </c>
      <c r="N307">
        <v>4</v>
      </c>
      <c r="O307">
        <v>0</v>
      </c>
      <c r="P307">
        <v>47.2</v>
      </c>
      <c r="Q307">
        <v>66</v>
      </c>
      <c r="R307">
        <v>66</v>
      </c>
      <c r="S307">
        <v>6</v>
      </c>
      <c r="T307">
        <v>0</v>
      </c>
      <c r="U307" s="1" t="s">
        <v>6251</v>
      </c>
      <c r="V307">
        <v>119.2</v>
      </c>
    </row>
    <row r="308" spans="1:22" ht="15">
      <c r="A308" s="4">
        <v>301</v>
      </c>
      <c r="B308">
        <v>707</v>
      </c>
      <c r="C308" t="s">
        <v>802</v>
      </c>
      <c r="D308" t="s">
        <v>280</v>
      </c>
      <c r="E308" t="s">
        <v>11</v>
      </c>
      <c r="F308" t="s">
        <v>803</v>
      </c>
      <c r="G308" t="str">
        <f>"00477042"</f>
        <v>00477042</v>
      </c>
      <c r="H308">
        <v>7.2</v>
      </c>
      <c r="I308">
        <v>0</v>
      </c>
      <c r="M308">
        <v>4</v>
      </c>
      <c r="N308">
        <v>0</v>
      </c>
      <c r="O308">
        <v>0</v>
      </c>
      <c r="P308">
        <v>11.2</v>
      </c>
      <c r="Q308">
        <v>102</v>
      </c>
      <c r="R308">
        <v>102</v>
      </c>
      <c r="S308">
        <v>6</v>
      </c>
      <c r="T308">
        <v>0</v>
      </c>
      <c r="U308" s="1">
        <v>0</v>
      </c>
      <c r="V308">
        <v>119.2</v>
      </c>
    </row>
    <row r="309" spans="1:22" ht="15">
      <c r="A309" s="4">
        <v>302</v>
      </c>
      <c r="B309">
        <v>1511</v>
      </c>
      <c r="C309" t="s">
        <v>804</v>
      </c>
      <c r="D309" t="s">
        <v>805</v>
      </c>
      <c r="E309" t="s">
        <v>59</v>
      </c>
      <c r="F309" t="s">
        <v>806</v>
      </c>
      <c r="G309" t="str">
        <f>"00493202"</f>
        <v>00493202</v>
      </c>
      <c r="H309">
        <v>0</v>
      </c>
      <c r="I309">
        <v>0</v>
      </c>
      <c r="M309">
        <v>4</v>
      </c>
      <c r="N309">
        <v>0</v>
      </c>
      <c r="O309">
        <v>0</v>
      </c>
      <c r="P309">
        <v>4</v>
      </c>
      <c r="Q309">
        <v>115</v>
      </c>
      <c r="R309">
        <v>115</v>
      </c>
      <c r="S309">
        <v>0</v>
      </c>
      <c r="T309">
        <v>0</v>
      </c>
      <c r="U309" s="1">
        <v>0</v>
      </c>
      <c r="V309">
        <v>119</v>
      </c>
    </row>
    <row r="310" spans="1:22" ht="15">
      <c r="A310" s="4">
        <v>303</v>
      </c>
      <c r="B310">
        <v>2020</v>
      </c>
      <c r="C310" t="s">
        <v>489</v>
      </c>
      <c r="D310" t="s">
        <v>14</v>
      </c>
      <c r="E310" t="s">
        <v>807</v>
      </c>
      <c r="F310" t="s">
        <v>808</v>
      </c>
      <c r="G310" t="str">
        <f>"00499867"</f>
        <v>00499867</v>
      </c>
      <c r="H310">
        <v>36</v>
      </c>
      <c r="I310">
        <v>0</v>
      </c>
      <c r="L310">
        <v>4</v>
      </c>
      <c r="M310">
        <v>4</v>
      </c>
      <c r="N310">
        <v>4</v>
      </c>
      <c r="O310">
        <v>0</v>
      </c>
      <c r="P310">
        <v>44</v>
      </c>
      <c r="Q310">
        <v>69</v>
      </c>
      <c r="R310">
        <v>69</v>
      </c>
      <c r="S310">
        <v>6</v>
      </c>
      <c r="T310">
        <v>0</v>
      </c>
      <c r="U310" s="1">
        <v>0</v>
      </c>
      <c r="V310">
        <v>119</v>
      </c>
    </row>
    <row r="311" spans="1:22" ht="15">
      <c r="A311" s="4">
        <v>304</v>
      </c>
      <c r="B311">
        <v>1872</v>
      </c>
      <c r="C311" t="s">
        <v>809</v>
      </c>
      <c r="D311" t="s">
        <v>810</v>
      </c>
      <c r="E311" t="s">
        <v>811</v>
      </c>
      <c r="F311" t="s">
        <v>812</v>
      </c>
      <c r="G311" t="str">
        <f>"00290321"</f>
        <v>00290321</v>
      </c>
      <c r="H311">
        <v>64.8</v>
      </c>
      <c r="I311">
        <v>0</v>
      </c>
      <c r="L311">
        <v>4</v>
      </c>
      <c r="M311">
        <v>4</v>
      </c>
      <c r="N311">
        <v>4</v>
      </c>
      <c r="O311">
        <v>0</v>
      </c>
      <c r="P311">
        <v>72.8</v>
      </c>
      <c r="Q311">
        <v>40</v>
      </c>
      <c r="R311">
        <v>40</v>
      </c>
      <c r="S311">
        <v>6</v>
      </c>
      <c r="T311">
        <v>0</v>
      </c>
      <c r="U311" s="1">
        <v>0</v>
      </c>
      <c r="V311">
        <v>118.8</v>
      </c>
    </row>
    <row r="312" spans="1:22" ht="15">
      <c r="A312" s="4">
        <v>305</v>
      </c>
      <c r="B312">
        <v>2057</v>
      </c>
      <c r="C312" t="s">
        <v>813</v>
      </c>
      <c r="D312" t="s">
        <v>170</v>
      </c>
      <c r="E312" t="s">
        <v>99</v>
      </c>
      <c r="F312" t="s">
        <v>814</v>
      </c>
      <c r="G312" t="str">
        <f>"00482919"</f>
        <v>00482919</v>
      </c>
      <c r="H312">
        <v>37.72</v>
      </c>
      <c r="I312">
        <v>0</v>
      </c>
      <c r="L312">
        <v>4</v>
      </c>
      <c r="M312">
        <v>0</v>
      </c>
      <c r="N312">
        <v>4</v>
      </c>
      <c r="O312">
        <v>0</v>
      </c>
      <c r="P312">
        <v>41.72</v>
      </c>
      <c r="Q312">
        <v>59</v>
      </c>
      <c r="R312">
        <v>59</v>
      </c>
      <c r="S312">
        <v>18</v>
      </c>
      <c r="T312">
        <v>0</v>
      </c>
      <c r="U312" s="1">
        <v>0</v>
      </c>
      <c r="V312">
        <v>118.72</v>
      </c>
    </row>
    <row r="313" spans="1:22" ht="15">
      <c r="A313" s="4">
        <v>306</v>
      </c>
      <c r="B313">
        <v>862</v>
      </c>
      <c r="C313" t="s">
        <v>815</v>
      </c>
      <c r="D313" t="s">
        <v>89</v>
      </c>
      <c r="E313" t="s">
        <v>190</v>
      </c>
      <c r="F313" t="s">
        <v>816</v>
      </c>
      <c r="G313" t="str">
        <f>"00507800"</f>
        <v>00507800</v>
      </c>
      <c r="H313">
        <v>38.68</v>
      </c>
      <c r="I313">
        <v>0</v>
      </c>
      <c r="M313">
        <v>4</v>
      </c>
      <c r="N313">
        <v>0</v>
      </c>
      <c r="O313">
        <v>0</v>
      </c>
      <c r="P313">
        <v>42.68</v>
      </c>
      <c r="Q313">
        <v>76</v>
      </c>
      <c r="R313">
        <v>76</v>
      </c>
      <c r="S313">
        <v>0</v>
      </c>
      <c r="T313">
        <v>0</v>
      </c>
      <c r="U313" s="1">
        <v>0</v>
      </c>
      <c r="V313">
        <v>118.68</v>
      </c>
    </row>
    <row r="314" spans="1:22" ht="15">
      <c r="A314" s="4">
        <v>307</v>
      </c>
      <c r="B314">
        <v>2142</v>
      </c>
      <c r="C314" t="s">
        <v>817</v>
      </c>
      <c r="D314" t="s">
        <v>76</v>
      </c>
      <c r="E314" t="s">
        <v>270</v>
      </c>
      <c r="F314" t="s">
        <v>818</v>
      </c>
      <c r="G314" t="str">
        <f>"201206000114"</f>
        <v>201206000114</v>
      </c>
      <c r="H314">
        <v>50.4</v>
      </c>
      <c r="I314">
        <v>0</v>
      </c>
      <c r="M314">
        <v>4</v>
      </c>
      <c r="N314">
        <v>0</v>
      </c>
      <c r="O314">
        <v>0</v>
      </c>
      <c r="P314">
        <v>54.4</v>
      </c>
      <c r="Q314">
        <v>61</v>
      </c>
      <c r="R314">
        <v>61</v>
      </c>
      <c r="S314">
        <v>3</v>
      </c>
      <c r="T314">
        <v>0</v>
      </c>
      <c r="U314" s="1">
        <v>0</v>
      </c>
      <c r="V314">
        <v>118.4</v>
      </c>
    </row>
    <row r="315" spans="1:22" ht="15">
      <c r="A315" s="4">
        <v>308</v>
      </c>
      <c r="B315">
        <v>1181</v>
      </c>
      <c r="C315" t="s">
        <v>819</v>
      </c>
      <c r="D315" t="s">
        <v>127</v>
      </c>
      <c r="E315" t="s">
        <v>19</v>
      </c>
      <c r="F315" t="s">
        <v>820</v>
      </c>
      <c r="G315" t="str">
        <f>"201506003863"</f>
        <v>201506003863</v>
      </c>
      <c r="H315">
        <v>32</v>
      </c>
      <c r="I315">
        <v>10</v>
      </c>
      <c r="J315">
        <v>8</v>
      </c>
      <c r="M315">
        <v>4</v>
      </c>
      <c r="N315">
        <v>8</v>
      </c>
      <c r="O315">
        <v>2</v>
      </c>
      <c r="P315">
        <v>56</v>
      </c>
      <c r="Q315">
        <v>62</v>
      </c>
      <c r="R315">
        <v>62</v>
      </c>
      <c r="S315">
        <v>0</v>
      </c>
      <c r="T315">
        <v>0</v>
      </c>
      <c r="U315" s="1">
        <v>0</v>
      </c>
      <c r="V315">
        <v>118</v>
      </c>
    </row>
    <row r="316" spans="1:22" ht="15">
      <c r="A316" s="4">
        <v>309</v>
      </c>
      <c r="B316">
        <v>286</v>
      </c>
      <c r="C316" t="s">
        <v>821</v>
      </c>
      <c r="D316" t="s">
        <v>156</v>
      </c>
      <c r="E316" t="s">
        <v>822</v>
      </c>
      <c r="F316" t="s">
        <v>823</v>
      </c>
      <c r="G316" t="str">
        <f>"201511004843"</f>
        <v>201511004843</v>
      </c>
      <c r="H316">
        <v>38.8</v>
      </c>
      <c r="I316">
        <v>0</v>
      </c>
      <c r="L316">
        <v>4</v>
      </c>
      <c r="M316">
        <v>4</v>
      </c>
      <c r="N316">
        <v>4</v>
      </c>
      <c r="O316">
        <v>0</v>
      </c>
      <c r="P316">
        <v>46.8</v>
      </c>
      <c r="Q316">
        <v>29</v>
      </c>
      <c r="R316">
        <v>29</v>
      </c>
      <c r="S316">
        <v>6</v>
      </c>
      <c r="T316">
        <v>36</v>
      </c>
      <c r="U316" s="1">
        <v>0</v>
      </c>
      <c r="V316">
        <v>117.8</v>
      </c>
    </row>
    <row r="317" spans="1:22" ht="15">
      <c r="A317" s="4">
        <v>310</v>
      </c>
      <c r="B317">
        <v>2024</v>
      </c>
      <c r="C317" t="s">
        <v>289</v>
      </c>
      <c r="D317" t="s">
        <v>14</v>
      </c>
      <c r="E317" t="s">
        <v>712</v>
      </c>
      <c r="F317" t="s">
        <v>824</v>
      </c>
      <c r="G317" t="str">
        <f>"00530770"</f>
        <v>00530770</v>
      </c>
      <c r="H317">
        <v>35.56</v>
      </c>
      <c r="I317">
        <v>0</v>
      </c>
      <c r="M317">
        <v>4</v>
      </c>
      <c r="N317">
        <v>0</v>
      </c>
      <c r="O317">
        <v>0</v>
      </c>
      <c r="P317">
        <v>39.56</v>
      </c>
      <c r="Q317">
        <v>42</v>
      </c>
      <c r="R317">
        <v>42</v>
      </c>
      <c r="S317">
        <v>9</v>
      </c>
      <c r="T317">
        <v>26.8</v>
      </c>
      <c r="U317" s="1">
        <v>0</v>
      </c>
      <c r="V317">
        <v>117.36</v>
      </c>
    </row>
    <row r="318" spans="1:22" ht="15">
      <c r="A318" s="4">
        <v>311</v>
      </c>
      <c r="B318">
        <v>432</v>
      </c>
      <c r="C318" t="s">
        <v>825</v>
      </c>
      <c r="D318" t="s">
        <v>826</v>
      </c>
      <c r="E318" t="s">
        <v>23</v>
      </c>
      <c r="F318" t="s">
        <v>827</v>
      </c>
      <c r="G318" t="str">
        <f>"00531843"</f>
        <v>00531843</v>
      </c>
      <c r="H318">
        <v>7.2</v>
      </c>
      <c r="I318">
        <v>0</v>
      </c>
      <c r="M318">
        <v>4</v>
      </c>
      <c r="N318">
        <v>0</v>
      </c>
      <c r="O318">
        <v>0</v>
      </c>
      <c r="P318">
        <v>11.2</v>
      </c>
      <c r="Q318">
        <v>100</v>
      </c>
      <c r="R318">
        <v>100</v>
      </c>
      <c r="S318">
        <v>6</v>
      </c>
      <c r="T318">
        <v>0</v>
      </c>
      <c r="U318" s="1">
        <v>0</v>
      </c>
      <c r="V318">
        <v>117.2</v>
      </c>
    </row>
    <row r="319" spans="1:22" ht="15">
      <c r="A319" s="4">
        <v>312</v>
      </c>
      <c r="B319">
        <v>2654</v>
      </c>
      <c r="C319" t="s">
        <v>828</v>
      </c>
      <c r="D319" t="s">
        <v>156</v>
      </c>
      <c r="E319" t="s">
        <v>90</v>
      </c>
      <c r="F319" t="s">
        <v>829</v>
      </c>
      <c r="G319" t="str">
        <f>"00518739"</f>
        <v>00518739</v>
      </c>
      <c r="H319">
        <v>72</v>
      </c>
      <c r="I319">
        <v>10</v>
      </c>
      <c r="L319">
        <v>4</v>
      </c>
      <c r="M319">
        <v>4</v>
      </c>
      <c r="N319">
        <v>4</v>
      </c>
      <c r="O319">
        <v>0</v>
      </c>
      <c r="P319">
        <v>90</v>
      </c>
      <c r="Q319">
        <v>27</v>
      </c>
      <c r="R319">
        <v>27</v>
      </c>
      <c r="S319">
        <v>0</v>
      </c>
      <c r="T319">
        <v>0</v>
      </c>
      <c r="U319" s="1" t="s">
        <v>6251</v>
      </c>
      <c r="V319">
        <v>117</v>
      </c>
    </row>
    <row r="320" spans="1:22" ht="15">
      <c r="A320" s="4">
        <v>313</v>
      </c>
      <c r="B320">
        <v>524</v>
      </c>
      <c r="C320" t="s">
        <v>830</v>
      </c>
      <c r="D320" t="s">
        <v>14</v>
      </c>
      <c r="E320" t="s">
        <v>19</v>
      </c>
      <c r="F320" t="s">
        <v>831</v>
      </c>
      <c r="G320" t="str">
        <f>"00504737"</f>
        <v>00504737</v>
      </c>
      <c r="H320">
        <v>36</v>
      </c>
      <c r="I320">
        <v>10</v>
      </c>
      <c r="L320">
        <v>4</v>
      </c>
      <c r="M320">
        <v>4</v>
      </c>
      <c r="N320">
        <v>4</v>
      </c>
      <c r="O320">
        <v>2</v>
      </c>
      <c r="P320">
        <v>56</v>
      </c>
      <c r="Q320">
        <v>55</v>
      </c>
      <c r="R320">
        <v>55</v>
      </c>
      <c r="S320">
        <v>6</v>
      </c>
      <c r="T320">
        <v>0</v>
      </c>
      <c r="U320" s="1">
        <v>0</v>
      </c>
      <c r="V320">
        <v>117</v>
      </c>
    </row>
    <row r="321" spans="1:22" ht="15">
      <c r="A321" s="4">
        <v>314</v>
      </c>
      <c r="B321">
        <v>3328</v>
      </c>
      <c r="C321" t="s">
        <v>832</v>
      </c>
      <c r="D321" t="s">
        <v>496</v>
      </c>
      <c r="E321" t="s">
        <v>11</v>
      </c>
      <c r="F321" t="s">
        <v>833</v>
      </c>
      <c r="G321" t="str">
        <f>"00482897"</f>
        <v>00482897</v>
      </c>
      <c r="H321">
        <v>30.92</v>
      </c>
      <c r="I321">
        <v>10</v>
      </c>
      <c r="M321">
        <v>4</v>
      </c>
      <c r="N321">
        <v>0</v>
      </c>
      <c r="O321">
        <v>0</v>
      </c>
      <c r="P321">
        <v>44.92</v>
      </c>
      <c r="Q321">
        <v>66</v>
      </c>
      <c r="R321">
        <v>66</v>
      </c>
      <c r="S321">
        <v>6</v>
      </c>
      <c r="T321">
        <v>0</v>
      </c>
      <c r="U321" s="1">
        <v>0</v>
      </c>
      <c r="V321">
        <v>116.92</v>
      </c>
    </row>
    <row r="322" spans="1:22" ht="15">
      <c r="A322" s="4">
        <v>315</v>
      </c>
      <c r="B322">
        <v>2687</v>
      </c>
      <c r="C322" t="s">
        <v>834</v>
      </c>
      <c r="D322" t="s">
        <v>485</v>
      </c>
      <c r="E322" t="s">
        <v>11</v>
      </c>
      <c r="F322" t="s">
        <v>835</v>
      </c>
      <c r="G322" t="str">
        <f>"00480472"</f>
        <v>00480472</v>
      </c>
      <c r="H322">
        <v>36.88</v>
      </c>
      <c r="I322">
        <v>0</v>
      </c>
      <c r="M322">
        <v>4</v>
      </c>
      <c r="N322">
        <v>0</v>
      </c>
      <c r="O322">
        <v>0</v>
      </c>
      <c r="P322">
        <v>40.88</v>
      </c>
      <c r="Q322">
        <v>70</v>
      </c>
      <c r="R322">
        <v>70</v>
      </c>
      <c r="S322">
        <v>6</v>
      </c>
      <c r="T322">
        <v>0</v>
      </c>
      <c r="U322" s="1">
        <v>0</v>
      </c>
      <c r="V322">
        <v>116.88</v>
      </c>
    </row>
    <row r="323" spans="1:22" ht="15">
      <c r="A323" s="4">
        <v>316</v>
      </c>
      <c r="B323">
        <v>1951</v>
      </c>
      <c r="C323" t="s">
        <v>836</v>
      </c>
      <c r="D323" t="s">
        <v>222</v>
      </c>
      <c r="E323" t="s">
        <v>19</v>
      </c>
      <c r="F323" t="s">
        <v>837</v>
      </c>
      <c r="G323" t="str">
        <f>"00478282"</f>
        <v>00478282</v>
      </c>
      <c r="H323">
        <v>28.8</v>
      </c>
      <c r="I323">
        <v>0</v>
      </c>
      <c r="L323">
        <v>4</v>
      </c>
      <c r="M323">
        <v>4</v>
      </c>
      <c r="N323">
        <v>4</v>
      </c>
      <c r="O323">
        <v>0</v>
      </c>
      <c r="P323">
        <v>36.8</v>
      </c>
      <c r="Q323">
        <v>74</v>
      </c>
      <c r="R323">
        <v>74</v>
      </c>
      <c r="S323">
        <v>6</v>
      </c>
      <c r="T323">
        <v>0</v>
      </c>
      <c r="U323" s="1">
        <v>0</v>
      </c>
      <c r="V323">
        <v>116.8</v>
      </c>
    </row>
    <row r="324" spans="1:22" ht="15">
      <c r="A324" s="4">
        <v>317</v>
      </c>
      <c r="B324">
        <v>3346</v>
      </c>
      <c r="C324" t="s">
        <v>838</v>
      </c>
      <c r="D324" t="s">
        <v>839</v>
      </c>
      <c r="E324" t="s">
        <v>41</v>
      </c>
      <c r="F324" t="s">
        <v>840</v>
      </c>
      <c r="G324" t="str">
        <f>"201511027048"</f>
        <v>201511027048</v>
      </c>
      <c r="H324">
        <v>37.8</v>
      </c>
      <c r="I324">
        <v>0</v>
      </c>
      <c r="M324">
        <v>4</v>
      </c>
      <c r="N324">
        <v>0</v>
      </c>
      <c r="O324">
        <v>0</v>
      </c>
      <c r="P324">
        <v>41.8</v>
      </c>
      <c r="Q324">
        <v>69</v>
      </c>
      <c r="R324">
        <v>69</v>
      </c>
      <c r="S324">
        <v>6</v>
      </c>
      <c r="T324">
        <v>0</v>
      </c>
      <c r="U324" s="1">
        <v>0</v>
      </c>
      <c r="V324">
        <v>116.8</v>
      </c>
    </row>
    <row r="325" spans="1:22" ht="15">
      <c r="A325" s="4">
        <v>318</v>
      </c>
      <c r="B325">
        <v>663</v>
      </c>
      <c r="C325" t="s">
        <v>841</v>
      </c>
      <c r="D325" t="s">
        <v>222</v>
      </c>
      <c r="E325" t="s">
        <v>23</v>
      </c>
      <c r="F325" t="s">
        <v>842</v>
      </c>
      <c r="G325" t="str">
        <f>"00163102"</f>
        <v>00163102</v>
      </c>
      <c r="H325">
        <v>28.8</v>
      </c>
      <c r="I325">
        <v>0</v>
      </c>
      <c r="L325">
        <v>4</v>
      </c>
      <c r="M325">
        <v>4</v>
      </c>
      <c r="N325">
        <v>4</v>
      </c>
      <c r="O325">
        <v>0</v>
      </c>
      <c r="P325">
        <v>36.8</v>
      </c>
      <c r="Q325">
        <v>74</v>
      </c>
      <c r="R325">
        <v>74</v>
      </c>
      <c r="S325">
        <v>6</v>
      </c>
      <c r="T325">
        <v>0</v>
      </c>
      <c r="U325" s="1">
        <v>0</v>
      </c>
      <c r="V325">
        <v>116.8</v>
      </c>
    </row>
    <row r="326" spans="1:22" ht="15">
      <c r="A326" s="4">
        <v>319</v>
      </c>
      <c r="B326">
        <v>1522</v>
      </c>
      <c r="C326" t="s">
        <v>843</v>
      </c>
      <c r="D326" t="s">
        <v>582</v>
      </c>
      <c r="E326" t="s">
        <v>83</v>
      </c>
      <c r="F326" t="s">
        <v>844</v>
      </c>
      <c r="G326" t="str">
        <f>"00155286"</f>
        <v>00155286</v>
      </c>
      <c r="H326">
        <v>37.8</v>
      </c>
      <c r="I326">
        <v>10</v>
      </c>
      <c r="L326">
        <v>4</v>
      </c>
      <c r="M326">
        <v>4</v>
      </c>
      <c r="N326">
        <v>4</v>
      </c>
      <c r="O326">
        <v>0</v>
      </c>
      <c r="P326">
        <v>55.8</v>
      </c>
      <c r="Q326">
        <v>61</v>
      </c>
      <c r="R326">
        <v>61</v>
      </c>
      <c r="S326">
        <v>0</v>
      </c>
      <c r="T326">
        <v>0</v>
      </c>
      <c r="U326" s="1">
        <v>0</v>
      </c>
      <c r="V326">
        <v>116.8</v>
      </c>
    </row>
    <row r="327" spans="1:22" ht="15">
      <c r="A327" s="4">
        <v>320</v>
      </c>
      <c r="B327">
        <v>758</v>
      </c>
      <c r="C327" t="s">
        <v>845</v>
      </c>
      <c r="D327" t="s">
        <v>127</v>
      </c>
      <c r="E327" t="s">
        <v>19</v>
      </c>
      <c r="F327" t="s">
        <v>846</v>
      </c>
      <c r="G327" t="str">
        <f>"00441776"</f>
        <v>00441776</v>
      </c>
      <c r="H327">
        <v>28.8</v>
      </c>
      <c r="I327">
        <v>0</v>
      </c>
      <c r="M327">
        <v>0</v>
      </c>
      <c r="N327">
        <v>0</v>
      </c>
      <c r="O327">
        <v>0</v>
      </c>
      <c r="P327">
        <v>28.8</v>
      </c>
      <c r="Q327">
        <v>88</v>
      </c>
      <c r="R327">
        <v>88</v>
      </c>
      <c r="S327">
        <v>0</v>
      </c>
      <c r="T327">
        <v>0</v>
      </c>
      <c r="U327" s="1">
        <v>0</v>
      </c>
      <c r="V327">
        <v>116.8</v>
      </c>
    </row>
    <row r="328" spans="1:22" ht="15">
      <c r="A328" s="4">
        <v>321</v>
      </c>
      <c r="B328">
        <v>2523</v>
      </c>
      <c r="C328" t="s">
        <v>847</v>
      </c>
      <c r="D328" t="s">
        <v>848</v>
      </c>
      <c r="E328" t="s">
        <v>55</v>
      </c>
      <c r="F328" t="s">
        <v>849</v>
      </c>
      <c r="G328" t="str">
        <f>"00531275"</f>
        <v>00531275</v>
      </c>
      <c r="H328">
        <v>57.6</v>
      </c>
      <c r="I328">
        <v>0</v>
      </c>
      <c r="M328">
        <v>4</v>
      </c>
      <c r="N328">
        <v>0</v>
      </c>
      <c r="O328">
        <v>0</v>
      </c>
      <c r="P328">
        <v>61.6</v>
      </c>
      <c r="Q328">
        <v>52</v>
      </c>
      <c r="R328">
        <v>52</v>
      </c>
      <c r="S328">
        <v>3</v>
      </c>
      <c r="T328">
        <v>0</v>
      </c>
      <c r="U328" s="1">
        <v>0</v>
      </c>
      <c r="V328">
        <v>116.6</v>
      </c>
    </row>
    <row r="329" spans="1:22" ht="15">
      <c r="A329" s="4">
        <v>322</v>
      </c>
      <c r="B329">
        <v>380</v>
      </c>
      <c r="C329" t="s">
        <v>850</v>
      </c>
      <c r="D329" t="s">
        <v>477</v>
      </c>
      <c r="E329" t="s">
        <v>19</v>
      </c>
      <c r="F329" t="s">
        <v>851</v>
      </c>
      <c r="G329" t="str">
        <f>"00441482"</f>
        <v>00441482</v>
      </c>
      <c r="H329">
        <v>14.4</v>
      </c>
      <c r="I329">
        <v>10</v>
      </c>
      <c r="M329">
        <v>0</v>
      </c>
      <c r="N329">
        <v>0</v>
      </c>
      <c r="O329">
        <v>0</v>
      </c>
      <c r="P329">
        <v>24.4</v>
      </c>
      <c r="Q329">
        <v>83</v>
      </c>
      <c r="R329">
        <v>83</v>
      </c>
      <c r="S329">
        <v>9</v>
      </c>
      <c r="T329">
        <v>0</v>
      </c>
      <c r="U329" s="1">
        <v>0</v>
      </c>
      <c r="V329">
        <v>116.4</v>
      </c>
    </row>
    <row r="330" spans="1:22" ht="15">
      <c r="A330" s="4">
        <v>323</v>
      </c>
      <c r="B330">
        <v>1320</v>
      </c>
      <c r="C330" t="s">
        <v>852</v>
      </c>
      <c r="D330" t="s">
        <v>211</v>
      </c>
      <c r="E330" t="s">
        <v>30</v>
      </c>
      <c r="F330" t="s">
        <v>853</v>
      </c>
      <c r="G330" t="str">
        <f>"00515172"</f>
        <v>00515172</v>
      </c>
      <c r="H330">
        <v>38.28</v>
      </c>
      <c r="I330">
        <v>0</v>
      </c>
      <c r="L330">
        <v>4</v>
      </c>
      <c r="M330">
        <v>4</v>
      </c>
      <c r="N330">
        <v>4</v>
      </c>
      <c r="O330">
        <v>0</v>
      </c>
      <c r="P330">
        <v>46.28</v>
      </c>
      <c r="Q330">
        <v>70</v>
      </c>
      <c r="R330">
        <v>70</v>
      </c>
      <c r="S330">
        <v>0</v>
      </c>
      <c r="T330">
        <v>0</v>
      </c>
      <c r="U330" s="1">
        <v>0</v>
      </c>
      <c r="V330">
        <v>116.28</v>
      </c>
    </row>
    <row r="331" spans="1:22" ht="15">
      <c r="A331" s="4">
        <v>324</v>
      </c>
      <c r="B331">
        <v>178</v>
      </c>
      <c r="C331" t="s">
        <v>155</v>
      </c>
      <c r="D331" t="s">
        <v>541</v>
      </c>
      <c r="E331" t="s">
        <v>11</v>
      </c>
      <c r="F331" t="s">
        <v>854</v>
      </c>
      <c r="G331" t="str">
        <f>"00529832"</f>
        <v>00529832</v>
      </c>
      <c r="H331">
        <v>24.2</v>
      </c>
      <c r="I331">
        <v>10</v>
      </c>
      <c r="M331">
        <v>4</v>
      </c>
      <c r="N331">
        <v>0</v>
      </c>
      <c r="O331">
        <v>2</v>
      </c>
      <c r="P331">
        <v>40.2</v>
      </c>
      <c r="Q331">
        <v>76</v>
      </c>
      <c r="R331">
        <v>76</v>
      </c>
      <c r="S331">
        <v>0</v>
      </c>
      <c r="T331">
        <v>0</v>
      </c>
      <c r="U331" s="1">
        <v>0</v>
      </c>
      <c r="V331">
        <v>116.2</v>
      </c>
    </row>
    <row r="332" spans="1:22" ht="15">
      <c r="A332" s="4">
        <v>325</v>
      </c>
      <c r="B332">
        <v>150</v>
      </c>
      <c r="C332" t="s">
        <v>855</v>
      </c>
      <c r="D332" t="s">
        <v>173</v>
      </c>
      <c r="E332" t="s">
        <v>83</v>
      </c>
      <c r="F332" t="s">
        <v>856</v>
      </c>
      <c r="G332" t="str">
        <f>"00503725"</f>
        <v>00503725</v>
      </c>
      <c r="H332">
        <v>23.08</v>
      </c>
      <c r="I332">
        <v>0</v>
      </c>
      <c r="M332">
        <v>4</v>
      </c>
      <c r="N332">
        <v>0</v>
      </c>
      <c r="O332">
        <v>0</v>
      </c>
      <c r="P332">
        <v>27.08</v>
      </c>
      <c r="Q332">
        <v>89</v>
      </c>
      <c r="R332">
        <v>89</v>
      </c>
      <c r="S332">
        <v>0</v>
      </c>
      <c r="T332">
        <v>0</v>
      </c>
      <c r="U332" s="1">
        <v>0</v>
      </c>
      <c r="V332">
        <v>116.08</v>
      </c>
    </row>
    <row r="333" spans="1:22" ht="15">
      <c r="A333" s="4">
        <v>326</v>
      </c>
      <c r="B333">
        <v>2525</v>
      </c>
      <c r="C333" t="s">
        <v>857</v>
      </c>
      <c r="D333" t="s">
        <v>858</v>
      </c>
      <c r="E333" t="s">
        <v>83</v>
      </c>
      <c r="F333" t="s">
        <v>859</v>
      </c>
      <c r="G333" t="str">
        <f>"200802001093"</f>
        <v>200802001093</v>
      </c>
      <c r="H333">
        <v>36</v>
      </c>
      <c r="I333">
        <v>0</v>
      </c>
      <c r="K333">
        <v>6</v>
      </c>
      <c r="M333">
        <v>4</v>
      </c>
      <c r="N333">
        <v>6</v>
      </c>
      <c r="O333">
        <v>2</v>
      </c>
      <c r="P333">
        <v>48</v>
      </c>
      <c r="Q333">
        <v>68</v>
      </c>
      <c r="R333">
        <v>68</v>
      </c>
      <c r="S333">
        <v>0</v>
      </c>
      <c r="T333">
        <v>0</v>
      </c>
      <c r="U333" s="1">
        <v>0</v>
      </c>
      <c r="V333">
        <v>116</v>
      </c>
    </row>
    <row r="334" spans="1:22" ht="15">
      <c r="A334" s="4">
        <v>327</v>
      </c>
      <c r="B334">
        <v>650</v>
      </c>
      <c r="C334" t="s">
        <v>860</v>
      </c>
      <c r="D334" t="s">
        <v>861</v>
      </c>
      <c r="E334" t="s">
        <v>428</v>
      </c>
      <c r="F334" t="s">
        <v>862</v>
      </c>
      <c r="G334" t="str">
        <f>"00480176"</f>
        <v>00480176</v>
      </c>
      <c r="H334">
        <v>36</v>
      </c>
      <c r="I334">
        <v>10</v>
      </c>
      <c r="L334">
        <v>4</v>
      </c>
      <c r="M334">
        <v>4</v>
      </c>
      <c r="N334">
        <v>4</v>
      </c>
      <c r="O334">
        <v>0</v>
      </c>
      <c r="P334">
        <v>54</v>
      </c>
      <c r="Q334">
        <v>59</v>
      </c>
      <c r="R334">
        <v>59</v>
      </c>
      <c r="S334">
        <v>3</v>
      </c>
      <c r="T334">
        <v>0</v>
      </c>
      <c r="U334" s="1">
        <v>0</v>
      </c>
      <c r="V334">
        <v>116</v>
      </c>
    </row>
    <row r="335" spans="1:22" ht="15">
      <c r="A335" s="4">
        <v>328</v>
      </c>
      <c r="B335">
        <v>2353</v>
      </c>
      <c r="C335" t="s">
        <v>863</v>
      </c>
      <c r="D335" t="s">
        <v>29</v>
      </c>
      <c r="E335" t="s">
        <v>59</v>
      </c>
      <c r="F335" t="s">
        <v>864</v>
      </c>
      <c r="G335" t="str">
        <f>"200712006270"</f>
        <v>200712006270</v>
      </c>
      <c r="H335">
        <v>64.8</v>
      </c>
      <c r="I335">
        <v>0</v>
      </c>
      <c r="J335">
        <v>8</v>
      </c>
      <c r="M335">
        <v>4</v>
      </c>
      <c r="N335">
        <v>8</v>
      </c>
      <c r="O335">
        <v>0</v>
      </c>
      <c r="P335">
        <v>76.8</v>
      </c>
      <c r="Q335">
        <v>33</v>
      </c>
      <c r="R335">
        <v>33</v>
      </c>
      <c r="S335">
        <v>6</v>
      </c>
      <c r="T335">
        <v>0</v>
      </c>
      <c r="U335" s="1">
        <v>0</v>
      </c>
      <c r="V335">
        <v>115.8</v>
      </c>
    </row>
    <row r="336" spans="1:22" ht="15">
      <c r="A336" s="4">
        <v>329</v>
      </c>
      <c r="B336">
        <v>2304</v>
      </c>
      <c r="C336" t="s">
        <v>865</v>
      </c>
      <c r="D336" t="s">
        <v>40</v>
      </c>
      <c r="E336" t="s">
        <v>197</v>
      </c>
      <c r="F336" t="s">
        <v>866</v>
      </c>
      <c r="G336" t="str">
        <f>"201002000228"</f>
        <v>201002000228</v>
      </c>
      <c r="H336">
        <v>36.72</v>
      </c>
      <c r="I336">
        <v>0</v>
      </c>
      <c r="L336">
        <v>8</v>
      </c>
      <c r="M336">
        <v>4</v>
      </c>
      <c r="N336">
        <v>8</v>
      </c>
      <c r="O336">
        <v>0</v>
      </c>
      <c r="P336">
        <v>48.72</v>
      </c>
      <c r="Q336">
        <v>64</v>
      </c>
      <c r="R336">
        <v>64</v>
      </c>
      <c r="S336">
        <v>3</v>
      </c>
      <c r="T336">
        <v>0</v>
      </c>
      <c r="U336" s="1">
        <v>0</v>
      </c>
      <c r="V336">
        <v>115.72</v>
      </c>
    </row>
    <row r="337" spans="1:22" ht="15">
      <c r="A337" s="4">
        <v>330</v>
      </c>
      <c r="B337">
        <v>147</v>
      </c>
      <c r="C337" t="s">
        <v>867</v>
      </c>
      <c r="D337" t="s">
        <v>156</v>
      </c>
      <c r="E337" t="s">
        <v>23</v>
      </c>
      <c r="F337" t="s">
        <v>868</v>
      </c>
      <c r="G337" t="str">
        <f>"00500865"</f>
        <v>00500865</v>
      </c>
      <c r="H337">
        <v>57.6</v>
      </c>
      <c r="I337">
        <v>0</v>
      </c>
      <c r="L337">
        <v>4</v>
      </c>
      <c r="M337">
        <v>4</v>
      </c>
      <c r="N337">
        <v>4</v>
      </c>
      <c r="O337">
        <v>0</v>
      </c>
      <c r="P337">
        <v>65.6</v>
      </c>
      <c r="Q337">
        <v>50</v>
      </c>
      <c r="R337">
        <v>50</v>
      </c>
      <c r="S337">
        <v>0</v>
      </c>
      <c r="T337">
        <v>0</v>
      </c>
      <c r="U337" s="1">
        <v>0</v>
      </c>
      <c r="V337">
        <v>115.6</v>
      </c>
    </row>
    <row r="338" spans="1:22" ht="15">
      <c r="A338" s="4">
        <v>331</v>
      </c>
      <c r="B338">
        <v>1221</v>
      </c>
      <c r="C338" t="s">
        <v>869</v>
      </c>
      <c r="D338" t="s">
        <v>93</v>
      </c>
      <c r="E338" t="s">
        <v>30</v>
      </c>
      <c r="F338" t="s">
        <v>870</v>
      </c>
      <c r="G338" t="str">
        <f>"200712003872"</f>
        <v>200712003872</v>
      </c>
      <c r="H338">
        <v>37.44</v>
      </c>
      <c r="I338">
        <v>0</v>
      </c>
      <c r="J338">
        <v>8</v>
      </c>
      <c r="M338">
        <v>4</v>
      </c>
      <c r="N338">
        <v>8</v>
      </c>
      <c r="O338">
        <v>0</v>
      </c>
      <c r="P338">
        <v>49.44</v>
      </c>
      <c r="Q338">
        <v>60</v>
      </c>
      <c r="R338">
        <v>60</v>
      </c>
      <c r="S338">
        <v>6</v>
      </c>
      <c r="T338">
        <v>0</v>
      </c>
      <c r="U338" s="1">
        <v>0</v>
      </c>
      <c r="V338">
        <v>115.44</v>
      </c>
    </row>
    <row r="339" spans="1:22" ht="15">
      <c r="A339" s="4">
        <v>332</v>
      </c>
      <c r="B339">
        <v>277</v>
      </c>
      <c r="C339" t="s">
        <v>871</v>
      </c>
      <c r="D339" t="s">
        <v>176</v>
      </c>
      <c r="E339" t="s">
        <v>872</v>
      </c>
      <c r="F339" t="s">
        <v>873</v>
      </c>
      <c r="G339" t="str">
        <f>"00504113"</f>
        <v>00504113</v>
      </c>
      <c r="H339">
        <v>50.4</v>
      </c>
      <c r="I339">
        <v>0</v>
      </c>
      <c r="M339">
        <v>0</v>
      </c>
      <c r="N339">
        <v>0</v>
      </c>
      <c r="O339">
        <v>0</v>
      </c>
      <c r="P339">
        <v>50.4</v>
      </c>
      <c r="Q339">
        <v>59</v>
      </c>
      <c r="R339">
        <v>59</v>
      </c>
      <c r="S339">
        <v>6</v>
      </c>
      <c r="T339">
        <v>0</v>
      </c>
      <c r="U339" s="1">
        <v>0</v>
      </c>
      <c r="V339">
        <v>115.4</v>
      </c>
    </row>
    <row r="340" spans="1:22" ht="15">
      <c r="A340" s="4">
        <v>333</v>
      </c>
      <c r="B340">
        <v>2808</v>
      </c>
      <c r="C340" t="s">
        <v>874</v>
      </c>
      <c r="D340" t="s">
        <v>40</v>
      </c>
      <c r="E340" t="s">
        <v>15</v>
      </c>
      <c r="F340" t="s">
        <v>875</v>
      </c>
      <c r="G340" t="str">
        <f>"00441556"</f>
        <v>00441556</v>
      </c>
      <c r="H340">
        <v>14.4</v>
      </c>
      <c r="I340">
        <v>0</v>
      </c>
      <c r="J340">
        <v>8</v>
      </c>
      <c r="M340">
        <v>0</v>
      </c>
      <c r="N340">
        <v>8</v>
      </c>
      <c r="O340">
        <v>0</v>
      </c>
      <c r="P340">
        <v>22.4</v>
      </c>
      <c r="Q340">
        <v>90</v>
      </c>
      <c r="R340">
        <v>90</v>
      </c>
      <c r="S340">
        <v>3</v>
      </c>
      <c r="T340">
        <v>0</v>
      </c>
      <c r="U340" s="1">
        <v>0</v>
      </c>
      <c r="V340">
        <v>115.4</v>
      </c>
    </row>
    <row r="341" spans="1:22" ht="15">
      <c r="A341" s="4">
        <v>334</v>
      </c>
      <c r="B341">
        <v>1817</v>
      </c>
      <c r="C341" t="s">
        <v>876</v>
      </c>
      <c r="D341" t="s">
        <v>273</v>
      </c>
      <c r="E341" t="s">
        <v>877</v>
      </c>
      <c r="F341" t="s">
        <v>878</v>
      </c>
      <c r="G341" t="str">
        <f>"00153839"</f>
        <v>00153839</v>
      </c>
      <c r="H341">
        <v>50.4</v>
      </c>
      <c r="I341">
        <v>10</v>
      </c>
      <c r="L341">
        <v>4</v>
      </c>
      <c r="M341">
        <v>4</v>
      </c>
      <c r="N341">
        <v>4</v>
      </c>
      <c r="O341">
        <v>0</v>
      </c>
      <c r="P341">
        <v>68.4</v>
      </c>
      <c r="Q341">
        <v>47</v>
      </c>
      <c r="R341">
        <v>47</v>
      </c>
      <c r="S341">
        <v>0</v>
      </c>
      <c r="T341">
        <v>0</v>
      </c>
      <c r="U341" s="1" t="s">
        <v>6251</v>
      </c>
      <c r="V341">
        <v>115.4</v>
      </c>
    </row>
    <row r="342" spans="1:22" ht="15">
      <c r="A342" s="4">
        <v>335</v>
      </c>
      <c r="B342">
        <v>57</v>
      </c>
      <c r="C342" t="s">
        <v>879</v>
      </c>
      <c r="D342" t="s">
        <v>40</v>
      </c>
      <c r="E342" t="s">
        <v>23</v>
      </c>
      <c r="F342" t="s">
        <v>880</v>
      </c>
      <c r="G342" t="str">
        <f>"200902000084"</f>
        <v>200902000084</v>
      </c>
      <c r="H342">
        <v>34.24</v>
      </c>
      <c r="I342">
        <v>10</v>
      </c>
      <c r="M342">
        <v>4</v>
      </c>
      <c r="N342">
        <v>0</v>
      </c>
      <c r="O342">
        <v>0</v>
      </c>
      <c r="P342">
        <v>48.24</v>
      </c>
      <c r="Q342">
        <v>67</v>
      </c>
      <c r="R342">
        <v>67</v>
      </c>
      <c r="S342">
        <v>0</v>
      </c>
      <c r="T342">
        <v>0</v>
      </c>
      <c r="U342" s="1">
        <v>0</v>
      </c>
      <c r="V342">
        <v>115.24</v>
      </c>
    </row>
    <row r="343" spans="1:22" ht="15">
      <c r="A343" s="4">
        <v>336</v>
      </c>
      <c r="B343">
        <v>1666</v>
      </c>
      <c r="C343" t="s">
        <v>881</v>
      </c>
      <c r="D343" t="s">
        <v>14</v>
      </c>
      <c r="E343" t="s">
        <v>15</v>
      </c>
      <c r="F343" t="s">
        <v>882</v>
      </c>
      <c r="G343" t="str">
        <f>"00498410"</f>
        <v>00498410</v>
      </c>
      <c r="H343">
        <v>43.2</v>
      </c>
      <c r="I343">
        <v>0</v>
      </c>
      <c r="M343">
        <v>4</v>
      </c>
      <c r="N343">
        <v>0</v>
      </c>
      <c r="O343">
        <v>0</v>
      </c>
      <c r="P343">
        <v>47.2</v>
      </c>
      <c r="Q343">
        <v>65</v>
      </c>
      <c r="R343">
        <v>65</v>
      </c>
      <c r="S343">
        <v>3</v>
      </c>
      <c r="T343">
        <v>0</v>
      </c>
      <c r="U343" s="1">
        <v>0</v>
      </c>
      <c r="V343">
        <v>115.2</v>
      </c>
    </row>
    <row r="344" spans="1:22" ht="15">
      <c r="A344" s="4">
        <v>337</v>
      </c>
      <c r="B344">
        <v>1746</v>
      </c>
      <c r="C344" t="s">
        <v>883</v>
      </c>
      <c r="D344" t="s">
        <v>14</v>
      </c>
      <c r="E344" t="s">
        <v>317</v>
      </c>
      <c r="F344" t="s">
        <v>884</v>
      </c>
      <c r="G344" t="str">
        <f>"00278972"</f>
        <v>00278972</v>
      </c>
      <c r="H344">
        <v>31.12</v>
      </c>
      <c r="I344">
        <v>0</v>
      </c>
      <c r="M344">
        <v>4</v>
      </c>
      <c r="N344">
        <v>0</v>
      </c>
      <c r="O344">
        <v>0</v>
      </c>
      <c r="P344">
        <v>35.12</v>
      </c>
      <c r="Q344">
        <v>77</v>
      </c>
      <c r="R344">
        <v>77</v>
      </c>
      <c r="S344">
        <v>3</v>
      </c>
      <c r="T344">
        <v>0</v>
      </c>
      <c r="U344" s="1">
        <v>0</v>
      </c>
      <c r="V344">
        <v>115.12</v>
      </c>
    </row>
    <row r="345" spans="1:22" ht="15">
      <c r="A345" s="4">
        <v>338</v>
      </c>
      <c r="B345">
        <v>2036</v>
      </c>
      <c r="C345" t="s">
        <v>885</v>
      </c>
      <c r="D345" t="s">
        <v>886</v>
      </c>
      <c r="E345" t="s">
        <v>887</v>
      </c>
      <c r="F345" t="s">
        <v>888</v>
      </c>
      <c r="G345" t="str">
        <f>"00156139"</f>
        <v>00156139</v>
      </c>
      <c r="H345">
        <v>29.8</v>
      </c>
      <c r="I345">
        <v>0</v>
      </c>
      <c r="M345">
        <v>4</v>
      </c>
      <c r="N345">
        <v>0</v>
      </c>
      <c r="O345">
        <v>0</v>
      </c>
      <c r="P345">
        <v>33.8</v>
      </c>
      <c r="Q345">
        <v>75</v>
      </c>
      <c r="R345">
        <v>75</v>
      </c>
      <c r="S345">
        <v>6</v>
      </c>
      <c r="T345">
        <v>0</v>
      </c>
      <c r="U345" s="1">
        <v>0</v>
      </c>
      <c r="V345">
        <v>114.8</v>
      </c>
    </row>
    <row r="346" spans="1:22" ht="15">
      <c r="A346" s="4">
        <v>339</v>
      </c>
      <c r="B346">
        <v>1095</v>
      </c>
      <c r="C346" t="s">
        <v>63</v>
      </c>
      <c r="D346" t="s">
        <v>889</v>
      </c>
      <c r="E346" t="s">
        <v>65</v>
      </c>
      <c r="F346" t="s">
        <v>890</v>
      </c>
      <c r="G346" t="str">
        <f>"201401001920"</f>
        <v>201401001920</v>
      </c>
      <c r="H346">
        <v>28.8</v>
      </c>
      <c r="I346">
        <v>0</v>
      </c>
      <c r="L346">
        <v>4</v>
      </c>
      <c r="M346">
        <v>4</v>
      </c>
      <c r="N346">
        <v>4</v>
      </c>
      <c r="O346">
        <v>0</v>
      </c>
      <c r="P346">
        <v>36.8</v>
      </c>
      <c r="Q346">
        <v>78</v>
      </c>
      <c r="R346">
        <v>78</v>
      </c>
      <c r="S346">
        <v>0</v>
      </c>
      <c r="T346">
        <v>0</v>
      </c>
      <c r="U346" s="1">
        <v>0</v>
      </c>
      <c r="V346">
        <v>114.8</v>
      </c>
    </row>
    <row r="347" spans="1:22" ht="15">
      <c r="A347" s="4">
        <v>340</v>
      </c>
      <c r="B347">
        <v>580</v>
      </c>
      <c r="C347" t="s">
        <v>891</v>
      </c>
      <c r="D347" t="s">
        <v>892</v>
      </c>
      <c r="E347" t="s">
        <v>99</v>
      </c>
      <c r="F347" t="s">
        <v>893</v>
      </c>
      <c r="G347" t="str">
        <f>"201507001145"</f>
        <v>201507001145</v>
      </c>
      <c r="H347">
        <v>57.6</v>
      </c>
      <c r="I347">
        <v>0</v>
      </c>
      <c r="M347">
        <v>4</v>
      </c>
      <c r="N347">
        <v>0</v>
      </c>
      <c r="O347">
        <v>0</v>
      </c>
      <c r="P347">
        <v>61.6</v>
      </c>
      <c r="Q347">
        <v>50</v>
      </c>
      <c r="R347">
        <v>50</v>
      </c>
      <c r="S347">
        <v>3</v>
      </c>
      <c r="T347">
        <v>0</v>
      </c>
      <c r="U347" s="1">
        <v>0</v>
      </c>
      <c r="V347">
        <v>114.6</v>
      </c>
    </row>
    <row r="348" spans="1:22" ht="15">
      <c r="A348" s="4">
        <v>341</v>
      </c>
      <c r="B348">
        <v>1773</v>
      </c>
      <c r="C348" t="s">
        <v>894</v>
      </c>
      <c r="D348" t="s">
        <v>121</v>
      </c>
      <c r="E348" t="s">
        <v>895</v>
      </c>
      <c r="F348" t="s">
        <v>896</v>
      </c>
      <c r="G348" t="str">
        <f>"00480575"</f>
        <v>00480575</v>
      </c>
      <c r="H348">
        <v>28.8</v>
      </c>
      <c r="I348">
        <v>0</v>
      </c>
      <c r="M348">
        <v>0</v>
      </c>
      <c r="N348">
        <v>0</v>
      </c>
      <c r="O348">
        <v>0</v>
      </c>
      <c r="P348">
        <v>28.8</v>
      </c>
      <c r="Q348">
        <v>41</v>
      </c>
      <c r="R348">
        <v>41</v>
      </c>
      <c r="S348">
        <v>6</v>
      </c>
      <c r="T348">
        <v>38.8</v>
      </c>
      <c r="U348" s="1">
        <v>0</v>
      </c>
      <c r="V348">
        <v>114.6</v>
      </c>
    </row>
    <row r="349" spans="1:22" ht="15">
      <c r="A349" s="4">
        <v>342</v>
      </c>
      <c r="B349">
        <v>1656</v>
      </c>
      <c r="C349" t="s">
        <v>897</v>
      </c>
      <c r="D349" t="s">
        <v>89</v>
      </c>
      <c r="E349" t="s">
        <v>94</v>
      </c>
      <c r="F349" t="s">
        <v>898</v>
      </c>
      <c r="G349" t="str">
        <f>"201511031581"</f>
        <v>201511031581</v>
      </c>
      <c r="H349">
        <v>31.56</v>
      </c>
      <c r="I349">
        <v>0</v>
      </c>
      <c r="L349">
        <v>4</v>
      </c>
      <c r="M349">
        <v>4</v>
      </c>
      <c r="N349">
        <v>4</v>
      </c>
      <c r="O349">
        <v>0</v>
      </c>
      <c r="P349">
        <v>39.56</v>
      </c>
      <c r="Q349">
        <v>69</v>
      </c>
      <c r="R349">
        <v>69</v>
      </c>
      <c r="S349">
        <v>6</v>
      </c>
      <c r="T349">
        <v>0</v>
      </c>
      <c r="U349" s="1">
        <v>0</v>
      </c>
      <c r="V349">
        <v>114.56</v>
      </c>
    </row>
    <row r="350" spans="1:22" ht="15">
      <c r="A350" s="4">
        <v>343</v>
      </c>
      <c r="B350">
        <v>2622</v>
      </c>
      <c r="C350" t="s">
        <v>899</v>
      </c>
      <c r="D350" t="s">
        <v>900</v>
      </c>
      <c r="E350" t="s">
        <v>344</v>
      </c>
      <c r="F350" t="s">
        <v>901</v>
      </c>
      <c r="G350" t="str">
        <f>"00481997"</f>
        <v>00481997</v>
      </c>
      <c r="H350">
        <v>32.44</v>
      </c>
      <c r="I350">
        <v>0</v>
      </c>
      <c r="M350">
        <v>0</v>
      </c>
      <c r="N350">
        <v>0</v>
      </c>
      <c r="O350">
        <v>2</v>
      </c>
      <c r="P350">
        <v>34.44</v>
      </c>
      <c r="Q350">
        <v>77</v>
      </c>
      <c r="R350">
        <v>77</v>
      </c>
      <c r="S350">
        <v>3</v>
      </c>
      <c r="T350">
        <v>0</v>
      </c>
      <c r="U350" s="1">
        <v>0</v>
      </c>
      <c r="V350">
        <v>114.44</v>
      </c>
    </row>
    <row r="351" spans="1:22" ht="15">
      <c r="A351" s="4">
        <v>344</v>
      </c>
      <c r="B351">
        <v>2258</v>
      </c>
      <c r="C351" t="s">
        <v>902</v>
      </c>
      <c r="D351" t="s">
        <v>511</v>
      </c>
      <c r="E351" t="s">
        <v>11</v>
      </c>
      <c r="F351" t="s">
        <v>903</v>
      </c>
      <c r="G351" t="str">
        <f>"00154827"</f>
        <v>00154827</v>
      </c>
      <c r="H351">
        <v>72</v>
      </c>
      <c r="I351">
        <v>10</v>
      </c>
      <c r="M351">
        <v>4</v>
      </c>
      <c r="N351">
        <v>0</v>
      </c>
      <c r="O351">
        <v>0</v>
      </c>
      <c r="P351">
        <v>86</v>
      </c>
      <c r="Q351">
        <v>25</v>
      </c>
      <c r="R351">
        <v>25</v>
      </c>
      <c r="S351">
        <v>3</v>
      </c>
      <c r="T351">
        <v>0</v>
      </c>
      <c r="U351" s="1">
        <v>0</v>
      </c>
      <c r="V351">
        <v>114</v>
      </c>
    </row>
    <row r="352" spans="1:22" ht="15">
      <c r="A352" s="4">
        <v>345</v>
      </c>
      <c r="B352">
        <v>3417</v>
      </c>
      <c r="C352" t="s">
        <v>904</v>
      </c>
      <c r="D352" t="s">
        <v>697</v>
      </c>
      <c r="E352" t="s">
        <v>11</v>
      </c>
      <c r="F352" t="s">
        <v>905</v>
      </c>
      <c r="G352" t="str">
        <f>"00497387"</f>
        <v>00497387</v>
      </c>
      <c r="H352">
        <v>36</v>
      </c>
      <c r="I352">
        <v>10</v>
      </c>
      <c r="L352">
        <v>4</v>
      </c>
      <c r="M352">
        <v>4</v>
      </c>
      <c r="N352">
        <v>4</v>
      </c>
      <c r="O352">
        <v>0</v>
      </c>
      <c r="P352">
        <v>54</v>
      </c>
      <c r="Q352">
        <v>60</v>
      </c>
      <c r="R352">
        <v>60</v>
      </c>
      <c r="S352">
        <v>0</v>
      </c>
      <c r="T352">
        <v>0</v>
      </c>
      <c r="U352" s="1">
        <v>0</v>
      </c>
      <c r="V352">
        <v>114</v>
      </c>
    </row>
    <row r="353" spans="1:22" ht="15">
      <c r="A353" s="4">
        <v>346</v>
      </c>
      <c r="B353">
        <v>2237</v>
      </c>
      <c r="C353" t="s">
        <v>906</v>
      </c>
      <c r="D353" t="s">
        <v>319</v>
      </c>
      <c r="E353" t="s">
        <v>270</v>
      </c>
      <c r="F353" t="s">
        <v>907</v>
      </c>
      <c r="G353" t="str">
        <f>"00441807"</f>
        <v>00441807</v>
      </c>
      <c r="H353">
        <v>28.8</v>
      </c>
      <c r="I353">
        <v>0</v>
      </c>
      <c r="M353">
        <v>0</v>
      </c>
      <c r="N353">
        <v>0</v>
      </c>
      <c r="O353">
        <v>0</v>
      </c>
      <c r="P353">
        <v>28.8</v>
      </c>
      <c r="Q353">
        <v>82</v>
      </c>
      <c r="R353">
        <v>82</v>
      </c>
      <c r="S353">
        <v>3</v>
      </c>
      <c r="T353">
        <v>0</v>
      </c>
      <c r="U353" s="1">
        <v>0</v>
      </c>
      <c r="V353">
        <v>113.8</v>
      </c>
    </row>
    <row r="354" spans="1:22" ht="15">
      <c r="A354" s="4">
        <v>347</v>
      </c>
      <c r="B354">
        <v>1086</v>
      </c>
      <c r="C354" t="s">
        <v>908</v>
      </c>
      <c r="D354" t="s">
        <v>118</v>
      </c>
      <c r="E354" t="s">
        <v>909</v>
      </c>
      <c r="F354" t="s">
        <v>910</v>
      </c>
      <c r="G354" t="str">
        <f>"00531579"</f>
        <v>00531579</v>
      </c>
      <c r="H354">
        <v>35.56</v>
      </c>
      <c r="I354">
        <v>10</v>
      </c>
      <c r="M354">
        <v>0</v>
      </c>
      <c r="N354">
        <v>0</v>
      </c>
      <c r="O354">
        <v>0</v>
      </c>
      <c r="P354">
        <v>45.56</v>
      </c>
      <c r="Q354">
        <v>62</v>
      </c>
      <c r="R354">
        <v>62</v>
      </c>
      <c r="S354">
        <v>6</v>
      </c>
      <c r="T354">
        <v>0</v>
      </c>
      <c r="U354" s="1">
        <v>0</v>
      </c>
      <c r="V354">
        <v>113.56</v>
      </c>
    </row>
    <row r="355" spans="1:22" ht="15">
      <c r="A355" s="4">
        <v>348</v>
      </c>
      <c r="B355">
        <v>2975</v>
      </c>
      <c r="C355" t="s">
        <v>911</v>
      </c>
      <c r="D355" t="s">
        <v>76</v>
      </c>
      <c r="E355" t="s">
        <v>712</v>
      </c>
      <c r="F355" t="s">
        <v>912</v>
      </c>
      <c r="G355" t="str">
        <f>"00161409"</f>
        <v>00161409</v>
      </c>
      <c r="H355">
        <v>36.56</v>
      </c>
      <c r="I355">
        <v>0</v>
      </c>
      <c r="M355">
        <v>4</v>
      </c>
      <c r="N355">
        <v>0</v>
      </c>
      <c r="O355">
        <v>0</v>
      </c>
      <c r="P355">
        <v>40.56</v>
      </c>
      <c r="Q355">
        <v>67</v>
      </c>
      <c r="R355">
        <v>67</v>
      </c>
      <c r="S355">
        <v>6</v>
      </c>
      <c r="T355">
        <v>0</v>
      </c>
      <c r="U355" s="1">
        <v>0</v>
      </c>
      <c r="V355">
        <v>113.56</v>
      </c>
    </row>
    <row r="356" spans="1:22" ht="15">
      <c r="A356" s="4">
        <v>349</v>
      </c>
      <c r="B356">
        <v>1465</v>
      </c>
      <c r="C356" t="s">
        <v>913</v>
      </c>
      <c r="D356" t="s">
        <v>273</v>
      </c>
      <c r="E356" t="s">
        <v>99</v>
      </c>
      <c r="F356" t="s">
        <v>914</v>
      </c>
      <c r="G356" t="str">
        <f>"201511020318"</f>
        <v>201511020318</v>
      </c>
      <c r="H356">
        <v>30</v>
      </c>
      <c r="I356">
        <v>0</v>
      </c>
      <c r="M356">
        <v>0</v>
      </c>
      <c r="N356">
        <v>0</v>
      </c>
      <c r="O356">
        <v>0</v>
      </c>
      <c r="P356">
        <v>30</v>
      </c>
      <c r="Q356">
        <v>80</v>
      </c>
      <c r="R356">
        <v>80</v>
      </c>
      <c r="S356">
        <v>3</v>
      </c>
      <c r="T356">
        <v>0</v>
      </c>
      <c r="U356" s="1">
        <v>0</v>
      </c>
      <c r="V356">
        <v>113</v>
      </c>
    </row>
    <row r="357" spans="1:22" ht="15">
      <c r="A357" s="4">
        <v>350</v>
      </c>
      <c r="B357">
        <v>367</v>
      </c>
      <c r="C357" t="s">
        <v>915</v>
      </c>
      <c r="D357" t="s">
        <v>102</v>
      </c>
      <c r="E357" t="s">
        <v>916</v>
      </c>
      <c r="F357" t="s">
        <v>917</v>
      </c>
      <c r="G357" t="str">
        <f>"00515074"</f>
        <v>00515074</v>
      </c>
      <c r="H357">
        <v>18.92</v>
      </c>
      <c r="I357">
        <v>0</v>
      </c>
      <c r="M357">
        <v>4</v>
      </c>
      <c r="N357">
        <v>0</v>
      </c>
      <c r="O357">
        <v>0</v>
      </c>
      <c r="P357">
        <v>22.92</v>
      </c>
      <c r="Q357">
        <v>87</v>
      </c>
      <c r="R357">
        <v>87</v>
      </c>
      <c r="S357">
        <v>3</v>
      </c>
      <c r="T357">
        <v>0</v>
      </c>
      <c r="U357" s="1">
        <v>0</v>
      </c>
      <c r="V357">
        <v>112.92</v>
      </c>
    </row>
    <row r="358" spans="1:22" ht="15">
      <c r="A358" s="4">
        <v>351</v>
      </c>
      <c r="B358">
        <v>128</v>
      </c>
      <c r="C358" t="s">
        <v>782</v>
      </c>
      <c r="D358" t="s">
        <v>26</v>
      </c>
      <c r="E358" t="s">
        <v>712</v>
      </c>
      <c r="F358" t="s">
        <v>918</v>
      </c>
      <c r="G358" t="str">
        <f>"00526363"</f>
        <v>00526363</v>
      </c>
      <c r="H358">
        <v>50.4</v>
      </c>
      <c r="I358">
        <v>10</v>
      </c>
      <c r="M358">
        <v>4</v>
      </c>
      <c r="N358">
        <v>0</v>
      </c>
      <c r="O358">
        <v>0</v>
      </c>
      <c r="P358">
        <v>64.4</v>
      </c>
      <c r="Q358">
        <v>42</v>
      </c>
      <c r="R358">
        <v>42</v>
      </c>
      <c r="S358">
        <v>6</v>
      </c>
      <c r="T358">
        <v>0</v>
      </c>
      <c r="U358" s="1">
        <v>0</v>
      </c>
      <c r="V358">
        <v>112.4</v>
      </c>
    </row>
    <row r="359" spans="1:22" ht="15">
      <c r="A359" s="4">
        <v>352</v>
      </c>
      <c r="B359">
        <v>527</v>
      </c>
      <c r="C359" t="s">
        <v>919</v>
      </c>
      <c r="D359" t="s">
        <v>920</v>
      </c>
      <c r="E359" t="s">
        <v>86</v>
      </c>
      <c r="F359" t="s">
        <v>921</v>
      </c>
      <c r="G359" t="str">
        <f>"00153984"</f>
        <v>00153984</v>
      </c>
      <c r="H359">
        <v>20.36</v>
      </c>
      <c r="I359">
        <v>0</v>
      </c>
      <c r="M359">
        <v>4</v>
      </c>
      <c r="N359">
        <v>0</v>
      </c>
      <c r="O359">
        <v>0</v>
      </c>
      <c r="P359">
        <v>24.36</v>
      </c>
      <c r="Q359">
        <v>88</v>
      </c>
      <c r="R359">
        <v>88</v>
      </c>
      <c r="S359">
        <v>0</v>
      </c>
      <c r="T359">
        <v>0</v>
      </c>
      <c r="U359" s="1">
        <v>0</v>
      </c>
      <c r="V359">
        <v>112.36</v>
      </c>
    </row>
    <row r="360" spans="1:22" ht="15">
      <c r="A360" s="4">
        <v>353</v>
      </c>
      <c r="B360">
        <v>1537</v>
      </c>
      <c r="C360" t="s">
        <v>922</v>
      </c>
      <c r="D360" t="s">
        <v>19</v>
      </c>
      <c r="E360" t="s">
        <v>800</v>
      </c>
      <c r="F360" t="s">
        <v>923</v>
      </c>
      <c r="G360" t="str">
        <f>"00520486"</f>
        <v>00520486</v>
      </c>
      <c r="H360">
        <v>29.32</v>
      </c>
      <c r="I360">
        <v>0</v>
      </c>
      <c r="M360">
        <v>4</v>
      </c>
      <c r="N360">
        <v>0</v>
      </c>
      <c r="O360">
        <v>0</v>
      </c>
      <c r="P360">
        <v>33.32</v>
      </c>
      <c r="Q360">
        <v>70</v>
      </c>
      <c r="R360">
        <v>70</v>
      </c>
      <c r="S360">
        <v>9</v>
      </c>
      <c r="T360">
        <v>0</v>
      </c>
      <c r="U360" s="1">
        <v>0</v>
      </c>
      <c r="V360">
        <v>112.32</v>
      </c>
    </row>
    <row r="361" spans="1:22" ht="15">
      <c r="A361" s="4">
        <v>354</v>
      </c>
      <c r="B361">
        <v>1195</v>
      </c>
      <c r="C361" t="s">
        <v>924</v>
      </c>
      <c r="D361" t="s">
        <v>124</v>
      </c>
      <c r="E361" t="s">
        <v>15</v>
      </c>
      <c r="F361" t="s">
        <v>925</v>
      </c>
      <c r="G361" t="str">
        <f>"00531816"</f>
        <v>00531816</v>
      </c>
      <c r="H361">
        <v>25.32</v>
      </c>
      <c r="I361">
        <v>10</v>
      </c>
      <c r="L361">
        <v>4</v>
      </c>
      <c r="M361">
        <v>4</v>
      </c>
      <c r="N361">
        <v>4</v>
      </c>
      <c r="O361">
        <v>0</v>
      </c>
      <c r="P361">
        <v>43.32</v>
      </c>
      <c r="Q361">
        <v>63</v>
      </c>
      <c r="R361">
        <v>63</v>
      </c>
      <c r="S361">
        <v>6</v>
      </c>
      <c r="T361">
        <v>0</v>
      </c>
      <c r="U361" s="1">
        <v>0</v>
      </c>
      <c r="V361">
        <v>112.32</v>
      </c>
    </row>
    <row r="362" spans="1:22" ht="15">
      <c r="A362" s="4">
        <v>355</v>
      </c>
      <c r="B362">
        <v>2163</v>
      </c>
      <c r="C362" t="s">
        <v>926</v>
      </c>
      <c r="D362" t="s">
        <v>179</v>
      </c>
      <c r="E362" t="s">
        <v>927</v>
      </c>
      <c r="F362" t="s">
        <v>928</v>
      </c>
      <c r="G362" t="str">
        <f>"00479342"</f>
        <v>00479342</v>
      </c>
      <c r="H362">
        <v>43.2</v>
      </c>
      <c r="I362">
        <v>10</v>
      </c>
      <c r="L362">
        <v>4</v>
      </c>
      <c r="M362">
        <v>4</v>
      </c>
      <c r="N362">
        <v>4</v>
      </c>
      <c r="O362">
        <v>0</v>
      </c>
      <c r="P362">
        <v>61.2</v>
      </c>
      <c r="Q362">
        <v>48</v>
      </c>
      <c r="R362">
        <v>48</v>
      </c>
      <c r="S362">
        <v>3</v>
      </c>
      <c r="T362">
        <v>0</v>
      </c>
      <c r="U362" s="1">
        <v>0</v>
      </c>
      <c r="V362">
        <v>112.2</v>
      </c>
    </row>
    <row r="363" spans="1:22" ht="15">
      <c r="A363" s="4">
        <v>356</v>
      </c>
      <c r="B363">
        <v>1430</v>
      </c>
      <c r="C363" t="s">
        <v>929</v>
      </c>
      <c r="D363" t="s">
        <v>68</v>
      </c>
      <c r="E363" t="s">
        <v>167</v>
      </c>
      <c r="F363" t="s">
        <v>930</v>
      </c>
      <c r="G363" t="str">
        <f>"200809000878"</f>
        <v>200809000878</v>
      </c>
      <c r="H363">
        <v>43.2</v>
      </c>
      <c r="I363">
        <v>10</v>
      </c>
      <c r="K363">
        <v>6</v>
      </c>
      <c r="M363">
        <v>4</v>
      </c>
      <c r="N363">
        <v>6</v>
      </c>
      <c r="O363">
        <v>0</v>
      </c>
      <c r="P363">
        <v>63.2</v>
      </c>
      <c r="Q363">
        <v>14</v>
      </c>
      <c r="R363">
        <v>14</v>
      </c>
      <c r="S363">
        <v>3</v>
      </c>
      <c r="T363">
        <v>32</v>
      </c>
      <c r="U363" s="1">
        <v>0</v>
      </c>
      <c r="V363">
        <v>112.2</v>
      </c>
    </row>
    <row r="364" spans="1:22" ht="15">
      <c r="A364" s="4">
        <v>357</v>
      </c>
      <c r="B364">
        <v>1232</v>
      </c>
      <c r="C364" t="s">
        <v>931</v>
      </c>
      <c r="D364" t="s">
        <v>211</v>
      </c>
      <c r="E364" t="s">
        <v>83</v>
      </c>
      <c r="F364" t="s">
        <v>932</v>
      </c>
      <c r="G364" t="str">
        <f>"00152178"</f>
        <v>00152178</v>
      </c>
      <c r="H364">
        <v>36</v>
      </c>
      <c r="I364">
        <v>0</v>
      </c>
      <c r="M364">
        <v>4</v>
      </c>
      <c r="N364">
        <v>0</v>
      </c>
      <c r="O364">
        <v>0</v>
      </c>
      <c r="P364">
        <v>40</v>
      </c>
      <c r="Q364">
        <v>69</v>
      </c>
      <c r="R364">
        <v>69</v>
      </c>
      <c r="S364">
        <v>3</v>
      </c>
      <c r="T364">
        <v>0</v>
      </c>
      <c r="U364" s="1">
        <v>0</v>
      </c>
      <c r="V364">
        <v>112</v>
      </c>
    </row>
    <row r="365" spans="1:22" ht="15">
      <c r="A365" s="4">
        <v>358</v>
      </c>
      <c r="B365">
        <v>384</v>
      </c>
      <c r="C365" t="s">
        <v>933</v>
      </c>
      <c r="D365" t="s">
        <v>333</v>
      </c>
      <c r="E365" t="s">
        <v>90</v>
      </c>
      <c r="F365" t="s">
        <v>934</v>
      </c>
      <c r="G365" t="str">
        <f>"00505665"</f>
        <v>00505665</v>
      </c>
      <c r="H365">
        <v>72</v>
      </c>
      <c r="I365">
        <v>0</v>
      </c>
      <c r="L365">
        <v>4</v>
      </c>
      <c r="M365">
        <v>4</v>
      </c>
      <c r="N365">
        <v>4</v>
      </c>
      <c r="O365">
        <v>0</v>
      </c>
      <c r="P365">
        <v>80</v>
      </c>
      <c r="Q365">
        <v>32</v>
      </c>
      <c r="R365">
        <v>32</v>
      </c>
      <c r="S365">
        <v>0</v>
      </c>
      <c r="T365">
        <v>0</v>
      </c>
      <c r="U365" s="1">
        <v>0</v>
      </c>
      <c r="V365">
        <v>112</v>
      </c>
    </row>
    <row r="366" spans="1:22" ht="15">
      <c r="A366" s="4">
        <v>359</v>
      </c>
      <c r="B366">
        <v>1866</v>
      </c>
      <c r="C366" t="s">
        <v>935</v>
      </c>
      <c r="D366" t="s">
        <v>14</v>
      </c>
      <c r="E366" t="s">
        <v>11</v>
      </c>
      <c r="F366" t="s">
        <v>936</v>
      </c>
      <c r="G366" t="str">
        <f>"00531449"</f>
        <v>00531449</v>
      </c>
      <c r="H366">
        <v>64.8</v>
      </c>
      <c r="I366">
        <v>0</v>
      </c>
      <c r="M366">
        <v>4</v>
      </c>
      <c r="N366">
        <v>0</v>
      </c>
      <c r="O366">
        <v>2</v>
      </c>
      <c r="P366">
        <v>70.8</v>
      </c>
      <c r="Q366">
        <v>0</v>
      </c>
      <c r="R366">
        <v>0</v>
      </c>
      <c r="S366">
        <v>3</v>
      </c>
      <c r="T366">
        <v>38</v>
      </c>
      <c r="U366" s="1">
        <v>0</v>
      </c>
      <c r="V366">
        <v>111.8</v>
      </c>
    </row>
    <row r="367" spans="1:22" ht="15">
      <c r="A367" s="4">
        <v>360</v>
      </c>
      <c r="B367">
        <v>2670</v>
      </c>
      <c r="C367" t="s">
        <v>937</v>
      </c>
      <c r="D367" t="s">
        <v>938</v>
      </c>
      <c r="E367" t="s">
        <v>73</v>
      </c>
      <c r="F367" t="s">
        <v>939</v>
      </c>
      <c r="G367" t="str">
        <f>"00483237"</f>
        <v>00483237</v>
      </c>
      <c r="H367">
        <v>57.6</v>
      </c>
      <c r="I367">
        <v>10</v>
      </c>
      <c r="L367">
        <v>4</v>
      </c>
      <c r="M367">
        <v>4</v>
      </c>
      <c r="N367">
        <v>4</v>
      </c>
      <c r="O367">
        <v>0</v>
      </c>
      <c r="P367">
        <v>75.6</v>
      </c>
      <c r="Q367">
        <v>33</v>
      </c>
      <c r="R367">
        <v>33</v>
      </c>
      <c r="S367">
        <v>3</v>
      </c>
      <c r="T367">
        <v>0</v>
      </c>
      <c r="U367" s="1">
        <v>0</v>
      </c>
      <c r="V367">
        <v>111.6</v>
      </c>
    </row>
    <row r="368" spans="1:22" ht="15">
      <c r="A368" s="4">
        <v>361</v>
      </c>
      <c r="B368">
        <v>1919</v>
      </c>
      <c r="C368" t="s">
        <v>940</v>
      </c>
      <c r="D368" t="s">
        <v>89</v>
      </c>
      <c r="E368" t="s">
        <v>327</v>
      </c>
      <c r="F368" t="s">
        <v>941</v>
      </c>
      <c r="G368" t="str">
        <f>"00530218"</f>
        <v>00530218</v>
      </c>
      <c r="H368">
        <v>57.6</v>
      </c>
      <c r="I368">
        <v>10</v>
      </c>
      <c r="M368">
        <v>0</v>
      </c>
      <c r="N368">
        <v>0</v>
      </c>
      <c r="O368">
        <v>0</v>
      </c>
      <c r="P368">
        <v>67.6</v>
      </c>
      <c r="Q368">
        <v>41</v>
      </c>
      <c r="R368">
        <v>41</v>
      </c>
      <c r="S368">
        <v>3</v>
      </c>
      <c r="T368">
        <v>0</v>
      </c>
      <c r="U368" s="1">
        <v>0</v>
      </c>
      <c r="V368">
        <v>111.6</v>
      </c>
    </row>
    <row r="369" spans="1:22" ht="15">
      <c r="A369" s="4">
        <v>362</v>
      </c>
      <c r="B369">
        <v>1544</v>
      </c>
      <c r="C369" t="s">
        <v>942</v>
      </c>
      <c r="D369" t="s">
        <v>14</v>
      </c>
      <c r="E369" t="s">
        <v>90</v>
      </c>
      <c r="F369" t="s">
        <v>943</v>
      </c>
      <c r="G369" t="str">
        <f>"00501076"</f>
        <v>00501076</v>
      </c>
      <c r="H369">
        <v>35.56</v>
      </c>
      <c r="I369">
        <v>0</v>
      </c>
      <c r="M369">
        <v>4</v>
      </c>
      <c r="N369">
        <v>0</v>
      </c>
      <c r="O369">
        <v>0</v>
      </c>
      <c r="P369">
        <v>39.56</v>
      </c>
      <c r="Q369">
        <v>69</v>
      </c>
      <c r="R369">
        <v>69</v>
      </c>
      <c r="S369">
        <v>3</v>
      </c>
      <c r="T369">
        <v>0</v>
      </c>
      <c r="U369" s="1">
        <v>0</v>
      </c>
      <c r="V369">
        <v>111.56</v>
      </c>
    </row>
    <row r="370" spans="1:22" ht="15">
      <c r="A370" s="4">
        <v>363</v>
      </c>
      <c r="B370">
        <v>246</v>
      </c>
      <c r="C370" t="s">
        <v>944</v>
      </c>
      <c r="D370" t="s">
        <v>945</v>
      </c>
      <c r="E370" t="s">
        <v>946</v>
      </c>
      <c r="F370" t="s">
        <v>947</v>
      </c>
      <c r="G370" t="str">
        <f>"00502941"</f>
        <v>00502941</v>
      </c>
      <c r="H370">
        <v>14.4</v>
      </c>
      <c r="I370">
        <v>0</v>
      </c>
      <c r="K370">
        <v>6</v>
      </c>
      <c r="M370">
        <v>4</v>
      </c>
      <c r="N370">
        <v>6</v>
      </c>
      <c r="O370">
        <v>0</v>
      </c>
      <c r="P370">
        <v>24.4</v>
      </c>
      <c r="Q370">
        <v>84</v>
      </c>
      <c r="R370">
        <v>84</v>
      </c>
      <c r="S370">
        <v>3</v>
      </c>
      <c r="T370">
        <v>0</v>
      </c>
      <c r="U370" s="1">
        <v>0</v>
      </c>
      <c r="V370">
        <v>111.4</v>
      </c>
    </row>
    <row r="371" spans="1:22" ht="15">
      <c r="A371" s="4">
        <v>364</v>
      </c>
      <c r="B371">
        <v>1096</v>
      </c>
      <c r="C371" t="s">
        <v>948</v>
      </c>
      <c r="D371" t="s">
        <v>949</v>
      </c>
      <c r="E371" t="s">
        <v>19</v>
      </c>
      <c r="F371" t="s">
        <v>950</v>
      </c>
      <c r="G371" t="str">
        <f>"00351302"</f>
        <v>00351302</v>
      </c>
      <c r="H371">
        <v>37.08</v>
      </c>
      <c r="I371">
        <v>0</v>
      </c>
      <c r="L371">
        <v>4</v>
      </c>
      <c r="M371">
        <v>4</v>
      </c>
      <c r="N371">
        <v>4</v>
      </c>
      <c r="O371">
        <v>0</v>
      </c>
      <c r="P371">
        <v>45.08</v>
      </c>
      <c r="Q371">
        <v>66</v>
      </c>
      <c r="R371">
        <v>66</v>
      </c>
      <c r="S371">
        <v>0</v>
      </c>
      <c r="T371">
        <v>0</v>
      </c>
      <c r="U371" s="1">
        <v>0</v>
      </c>
      <c r="V371">
        <v>111.08</v>
      </c>
    </row>
    <row r="372" spans="1:22" ht="15">
      <c r="A372" s="4">
        <v>365</v>
      </c>
      <c r="B372">
        <v>3008</v>
      </c>
      <c r="C372" t="s">
        <v>951</v>
      </c>
      <c r="D372" t="s">
        <v>29</v>
      </c>
      <c r="E372" t="s">
        <v>90</v>
      </c>
      <c r="F372" t="s">
        <v>952</v>
      </c>
      <c r="G372" t="str">
        <f>"00514136"</f>
        <v>00514136</v>
      </c>
      <c r="H372">
        <v>0</v>
      </c>
      <c r="I372">
        <v>10</v>
      </c>
      <c r="J372">
        <v>8</v>
      </c>
      <c r="M372">
        <v>4</v>
      </c>
      <c r="N372">
        <v>8</v>
      </c>
      <c r="O372">
        <v>0</v>
      </c>
      <c r="P372">
        <v>22</v>
      </c>
      <c r="Q372">
        <v>86</v>
      </c>
      <c r="R372">
        <v>86</v>
      </c>
      <c r="S372">
        <v>3</v>
      </c>
      <c r="T372">
        <v>0</v>
      </c>
      <c r="U372" s="1">
        <v>0</v>
      </c>
      <c r="V372">
        <v>111</v>
      </c>
    </row>
    <row r="373" spans="1:22" ht="15">
      <c r="A373" s="4">
        <v>366</v>
      </c>
      <c r="B373">
        <v>1068</v>
      </c>
      <c r="C373" t="s">
        <v>953</v>
      </c>
      <c r="D373" t="s">
        <v>643</v>
      </c>
      <c r="E373" t="s">
        <v>270</v>
      </c>
      <c r="F373" t="s">
        <v>954</v>
      </c>
      <c r="G373" t="str">
        <f>"00483670"</f>
        <v>00483670</v>
      </c>
      <c r="H373">
        <v>0</v>
      </c>
      <c r="I373">
        <v>10</v>
      </c>
      <c r="M373">
        <v>4</v>
      </c>
      <c r="N373">
        <v>0</v>
      </c>
      <c r="O373">
        <v>0</v>
      </c>
      <c r="P373">
        <v>14</v>
      </c>
      <c r="Q373">
        <v>91</v>
      </c>
      <c r="R373">
        <v>91</v>
      </c>
      <c r="S373">
        <v>6</v>
      </c>
      <c r="T373">
        <v>0</v>
      </c>
      <c r="U373" s="1">
        <v>0</v>
      </c>
      <c r="V373">
        <v>111</v>
      </c>
    </row>
    <row r="374" spans="1:22" ht="15">
      <c r="A374" s="4">
        <v>367</v>
      </c>
      <c r="B374">
        <v>603</v>
      </c>
      <c r="C374" t="s">
        <v>955</v>
      </c>
      <c r="D374" t="s">
        <v>127</v>
      </c>
      <c r="E374" t="s">
        <v>23</v>
      </c>
      <c r="F374" t="s">
        <v>956</v>
      </c>
      <c r="G374" t="str">
        <f>"00161190"</f>
        <v>00161190</v>
      </c>
      <c r="H374">
        <v>36</v>
      </c>
      <c r="I374">
        <v>10</v>
      </c>
      <c r="M374">
        <v>4</v>
      </c>
      <c r="N374">
        <v>0</v>
      </c>
      <c r="O374">
        <v>0</v>
      </c>
      <c r="P374">
        <v>50</v>
      </c>
      <c r="Q374">
        <v>61</v>
      </c>
      <c r="R374">
        <v>61</v>
      </c>
      <c r="S374">
        <v>0</v>
      </c>
      <c r="T374">
        <v>0</v>
      </c>
      <c r="U374" s="1">
        <v>0</v>
      </c>
      <c r="V374">
        <v>111</v>
      </c>
    </row>
    <row r="375" spans="1:22" ht="15">
      <c r="A375" s="4">
        <v>368</v>
      </c>
      <c r="B375">
        <v>840</v>
      </c>
      <c r="C375" t="s">
        <v>957</v>
      </c>
      <c r="D375" t="s">
        <v>958</v>
      </c>
      <c r="E375" t="s">
        <v>73</v>
      </c>
      <c r="F375" t="s">
        <v>959</v>
      </c>
      <c r="G375" t="str">
        <f>"00442526"</f>
        <v>00442526</v>
      </c>
      <c r="H375">
        <v>28.8</v>
      </c>
      <c r="I375">
        <v>0</v>
      </c>
      <c r="M375">
        <v>0</v>
      </c>
      <c r="N375">
        <v>0</v>
      </c>
      <c r="O375">
        <v>2</v>
      </c>
      <c r="P375">
        <v>30.8</v>
      </c>
      <c r="Q375">
        <v>80</v>
      </c>
      <c r="R375">
        <v>80</v>
      </c>
      <c r="S375">
        <v>0</v>
      </c>
      <c r="T375">
        <v>0</v>
      </c>
      <c r="U375" s="1">
        <v>0</v>
      </c>
      <c r="V375">
        <v>110.8</v>
      </c>
    </row>
    <row r="376" spans="1:22" ht="15">
      <c r="A376" s="4">
        <v>369</v>
      </c>
      <c r="B376">
        <v>954</v>
      </c>
      <c r="C376" t="s">
        <v>960</v>
      </c>
      <c r="D376" t="s">
        <v>280</v>
      </c>
      <c r="E376" t="s">
        <v>73</v>
      </c>
      <c r="F376" t="s">
        <v>961</v>
      </c>
      <c r="G376" t="str">
        <f>"00525519"</f>
        <v>00525519</v>
      </c>
      <c r="H376">
        <v>43.2</v>
      </c>
      <c r="I376">
        <v>10</v>
      </c>
      <c r="L376">
        <v>4</v>
      </c>
      <c r="M376">
        <v>4</v>
      </c>
      <c r="N376">
        <v>4</v>
      </c>
      <c r="O376">
        <v>0</v>
      </c>
      <c r="P376">
        <v>61.2</v>
      </c>
      <c r="Q376">
        <v>49</v>
      </c>
      <c r="R376">
        <v>49</v>
      </c>
      <c r="S376">
        <v>0</v>
      </c>
      <c r="T376">
        <v>0</v>
      </c>
      <c r="U376" s="1">
        <v>0</v>
      </c>
      <c r="V376">
        <v>110.2</v>
      </c>
    </row>
    <row r="377" spans="1:22" ht="15">
      <c r="A377" s="4">
        <v>370</v>
      </c>
      <c r="B377">
        <v>502</v>
      </c>
      <c r="C377" t="s">
        <v>962</v>
      </c>
      <c r="D377" t="s">
        <v>963</v>
      </c>
      <c r="E377" t="s">
        <v>19</v>
      </c>
      <c r="F377" t="s">
        <v>964</v>
      </c>
      <c r="G377" t="str">
        <f>"00102120"</f>
        <v>00102120</v>
      </c>
      <c r="H377">
        <v>43.2</v>
      </c>
      <c r="I377">
        <v>10</v>
      </c>
      <c r="L377">
        <v>4</v>
      </c>
      <c r="M377">
        <v>4</v>
      </c>
      <c r="N377">
        <v>4</v>
      </c>
      <c r="O377">
        <v>0</v>
      </c>
      <c r="P377">
        <v>61.2</v>
      </c>
      <c r="Q377">
        <v>40</v>
      </c>
      <c r="R377">
        <v>40</v>
      </c>
      <c r="S377">
        <v>9</v>
      </c>
      <c r="T377">
        <v>0</v>
      </c>
      <c r="U377" s="1">
        <v>0</v>
      </c>
      <c r="V377">
        <v>110.2</v>
      </c>
    </row>
    <row r="378" spans="1:22" ht="15">
      <c r="A378" s="4">
        <v>371</v>
      </c>
      <c r="B378">
        <v>3163</v>
      </c>
      <c r="C378" t="s">
        <v>965</v>
      </c>
      <c r="D378" t="s">
        <v>76</v>
      </c>
      <c r="E378" t="s">
        <v>11</v>
      </c>
      <c r="F378" t="s">
        <v>966</v>
      </c>
      <c r="G378" t="str">
        <f>"00533044"</f>
        <v>00533044</v>
      </c>
      <c r="H378">
        <v>15.2</v>
      </c>
      <c r="I378">
        <v>0</v>
      </c>
      <c r="M378">
        <v>4</v>
      </c>
      <c r="N378">
        <v>0</v>
      </c>
      <c r="O378">
        <v>0</v>
      </c>
      <c r="P378">
        <v>19.2</v>
      </c>
      <c r="Q378">
        <v>42</v>
      </c>
      <c r="R378">
        <v>42</v>
      </c>
      <c r="S378">
        <v>9</v>
      </c>
      <c r="T378">
        <v>40</v>
      </c>
      <c r="U378" s="1">
        <v>0</v>
      </c>
      <c r="V378">
        <v>110.2</v>
      </c>
    </row>
    <row r="379" spans="1:22" ht="15">
      <c r="A379" s="4">
        <v>372</v>
      </c>
      <c r="B379">
        <v>3060</v>
      </c>
      <c r="C379" t="s">
        <v>967</v>
      </c>
      <c r="D379" t="s">
        <v>968</v>
      </c>
      <c r="E379" t="s">
        <v>90</v>
      </c>
      <c r="F379" t="s">
        <v>969</v>
      </c>
      <c r="G379" t="str">
        <f>"00530608"</f>
        <v>00530608</v>
      </c>
      <c r="H379">
        <v>23.12</v>
      </c>
      <c r="I379">
        <v>0</v>
      </c>
      <c r="L379">
        <v>4</v>
      </c>
      <c r="M379">
        <v>4</v>
      </c>
      <c r="N379">
        <v>4</v>
      </c>
      <c r="O379">
        <v>0</v>
      </c>
      <c r="P379">
        <v>31.12</v>
      </c>
      <c r="Q379">
        <v>79</v>
      </c>
      <c r="R379">
        <v>79</v>
      </c>
      <c r="S379">
        <v>0</v>
      </c>
      <c r="T379">
        <v>0</v>
      </c>
      <c r="U379" s="1">
        <v>0</v>
      </c>
      <c r="V379">
        <v>110.12</v>
      </c>
    </row>
    <row r="380" spans="1:22" ht="15">
      <c r="A380" s="4">
        <v>373</v>
      </c>
      <c r="B380">
        <v>2758</v>
      </c>
      <c r="C380" t="s">
        <v>970</v>
      </c>
      <c r="D380" t="s">
        <v>971</v>
      </c>
      <c r="E380" t="s">
        <v>972</v>
      </c>
      <c r="F380" t="s">
        <v>973</v>
      </c>
      <c r="G380" t="str">
        <f>"00503559"</f>
        <v>00503559</v>
      </c>
      <c r="H380">
        <v>36</v>
      </c>
      <c r="I380">
        <v>0</v>
      </c>
      <c r="M380">
        <v>0</v>
      </c>
      <c r="N380">
        <v>0</v>
      </c>
      <c r="O380">
        <v>0</v>
      </c>
      <c r="P380">
        <v>36</v>
      </c>
      <c r="Q380">
        <v>68</v>
      </c>
      <c r="R380">
        <v>68</v>
      </c>
      <c r="S380">
        <v>6</v>
      </c>
      <c r="T380">
        <v>0</v>
      </c>
      <c r="U380" s="1">
        <v>0</v>
      </c>
      <c r="V380">
        <v>110</v>
      </c>
    </row>
    <row r="381" spans="1:22" ht="15">
      <c r="A381" s="4">
        <v>374</v>
      </c>
      <c r="B381">
        <v>1797</v>
      </c>
      <c r="C381" t="s">
        <v>974</v>
      </c>
      <c r="D381" t="s">
        <v>975</v>
      </c>
      <c r="E381" t="s">
        <v>15</v>
      </c>
      <c r="F381" t="s">
        <v>976</v>
      </c>
      <c r="G381" t="str">
        <f>"00523649"</f>
        <v>00523649</v>
      </c>
      <c r="H381">
        <v>36</v>
      </c>
      <c r="I381">
        <v>0</v>
      </c>
      <c r="M381">
        <v>4</v>
      </c>
      <c r="N381">
        <v>0</v>
      </c>
      <c r="O381">
        <v>0</v>
      </c>
      <c r="P381">
        <v>40</v>
      </c>
      <c r="Q381">
        <v>70</v>
      </c>
      <c r="R381">
        <v>70</v>
      </c>
      <c r="S381">
        <v>0</v>
      </c>
      <c r="T381">
        <v>0</v>
      </c>
      <c r="U381" s="1">
        <v>0</v>
      </c>
      <c r="V381">
        <v>110</v>
      </c>
    </row>
    <row r="382" spans="1:22" ht="15">
      <c r="A382" s="4">
        <v>375</v>
      </c>
      <c r="B382">
        <v>477</v>
      </c>
      <c r="C382" t="s">
        <v>977</v>
      </c>
      <c r="D382" t="s">
        <v>978</v>
      </c>
      <c r="E382" t="s">
        <v>979</v>
      </c>
      <c r="F382" t="s">
        <v>980</v>
      </c>
      <c r="G382" t="str">
        <f>"00523825"</f>
        <v>00523825</v>
      </c>
      <c r="H382">
        <v>31.44</v>
      </c>
      <c r="I382">
        <v>10</v>
      </c>
      <c r="M382">
        <v>4</v>
      </c>
      <c r="N382">
        <v>0</v>
      </c>
      <c r="O382">
        <v>0</v>
      </c>
      <c r="P382">
        <v>45.44</v>
      </c>
      <c r="Q382">
        <v>52</v>
      </c>
      <c r="R382">
        <v>52</v>
      </c>
      <c r="S382">
        <v>12</v>
      </c>
      <c r="T382">
        <v>0</v>
      </c>
      <c r="U382" s="1">
        <v>0</v>
      </c>
      <c r="V382">
        <v>109.44</v>
      </c>
    </row>
    <row r="383" spans="1:22" ht="15">
      <c r="A383" s="4">
        <v>376</v>
      </c>
      <c r="B383">
        <v>2915</v>
      </c>
      <c r="C383" t="s">
        <v>981</v>
      </c>
      <c r="D383" t="s">
        <v>982</v>
      </c>
      <c r="E383" t="s">
        <v>23</v>
      </c>
      <c r="F383" t="s">
        <v>983</v>
      </c>
      <c r="G383" t="str">
        <f>"00442082"</f>
        <v>00442082</v>
      </c>
      <c r="H383">
        <v>50.4</v>
      </c>
      <c r="I383">
        <v>0</v>
      </c>
      <c r="M383">
        <v>4</v>
      </c>
      <c r="N383">
        <v>0</v>
      </c>
      <c r="O383">
        <v>0</v>
      </c>
      <c r="P383">
        <v>54.4</v>
      </c>
      <c r="Q383">
        <v>49</v>
      </c>
      <c r="R383">
        <v>49</v>
      </c>
      <c r="S383">
        <v>6</v>
      </c>
      <c r="T383">
        <v>0</v>
      </c>
      <c r="U383" s="1" t="s">
        <v>6251</v>
      </c>
      <c r="V383">
        <v>109.4</v>
      </c>
    </row>
    <row r="384" spans="1:22" ht="15">
      <c r="A384" s="4">
        <v>377</v>
      </c>
      <c r="B384">
        <v>2188</v>
      </c>
      <c r="C384" t="s">
        <v>984</v>
      </c>
      <c r="D384" t="s">
        <v>14</v>
      </c>
      <c r="E384" t="s">
        <v>447</v>
      </c>
      <c r="F384" t="s">
        <v>985</v>
      </c>
      <c r="G384" t="str">
        <f>"201602000430"</f>
        <v>201602000430</v>
      </c>
      <c r="H384">
        <v>14.4</v>
      </c>
      <c r="I384">
        <v>10</v>
      </c>
      <c r="M384">
        <v>4</v>
      </c>
      <c r="N384">
        <v>0</v>
      </c>
      <c r="O384">
        <v>0</v>
      </c>
      <c r="P384">
        <v>28.4</v>
      </c>
      <c r="Q384">
        <v>69</v>
      </c>
      <c r="R384">
        <v>69</v>
      </c>
      <c r="S384">
        <v>12</v>
      </c>
      <c r="T384">
        <v>0</v>
      </c>
      <c r="U384" s="1">
        <v>0</v>
      </c>
      <c r="V384">
        <v>109.4</v>
      </c>
    </row>
    <row r="385" spans="1:22" ht="15">
      <c r="A385" s="4">
        <v>378</v>
      </c>
      <c r="B385">
        <v>3096</v>
      </c>
      <c r="C385" t="s">
        <v>986</v>
      </c>
      <c r="D385" t="s">
        <v>102</v>
      </c>
      <c r="E385" t="s">
        <v>19</v>
      </c>
      <c r="F385" t="s">
        <v>987</v>
      </c>
      <c r="G385" t="str">
        <f>"00533978"</f>
        <v>00533978</v>
      </c>
      <c r="H385">
        <v>50.4</v>
      </c>
      <c r="I385">
        <v>0</v>
      </c>
      <c r="M385">
        <v>4</v>
      </c>
      <c r="N385">
        <v>0</v>
      </c>
      <c r="O385">
        <v>0</v>
      </c>
      <c r="P385">
        <v>54.4</v>
      </c>
      <c r="Q385">
        <v>49</v>
      </c>
      <c r="R385">
        <v>49</v>
      </c>
      <c r="S385">
        <v>6</v>
      </c>
      <c r="T385">
        <v>0</v>
      </c>
      <c r="U385" s="1">
        <v>0</v>
      </c>
      <c r="V385">
        <v>109.4</v>
      </c>
    </row>
    <row r="386" spans="1:22" ht="15">
      <c r="A386" s="4">
        <v>379</v>
      </c>
      <c r="B386">
        <v>2739</v>
      </c>
      <c r="C386" t="s">
        <v>988</v>
      </c>
      <c r="D386" t="s">
        <v>29</v>
      </c>
      <c r="E386" t="s">
        <v>73</v>
      </c>
      <c r="F386" t="s">
        <v>989</v>
      </c>
      <c r="G386" t="str">
        <f>"201511019548"</f>
        <v>201511019548</v>
      </c>
      <c r="H386">
        <v>43.2</v>
      </c>
      <c r="I386">
        <v>0</v>
      </c>
      <c r="M386">
        <v>4</v>
      </c>
      <c r="N386">
        <v>0</v>
      </c>
      <c r="O386">
        <v>0</v>
      </c>
      <c r="P386">
        <v>47.2</v>
      </c>
      <c r="Q386">
        <v>56</v>
      </c>
      <c r="R386">
        <v>56</v>
      </c>
      <c r="S386">
        <v>6</v>
      </c>
      <c r="T386">
        <v>0</v>
      </c>
      <c r="U386" s="1">
        <v>0</v>
      </c>
      <c r="V386">
        <v>109.2</v>
      </c>
    </row>
    <row r="387" spans="1:22" ht="15">
      <c r="A387" s="4">
        <v>380</v>
      </c>
      <c r="B387">
        <v>1209</v>
      </c>
      <c r="C387" t="s">
        <v>990</v>
      </c>
      <c r="D387" t="s">
        <v>991</v>
      </c>
      <c r="E387" t="s">
        <v>992</v>
      </c>
      <c r="F387" t="s">
        <v>993</v>
      </c>
      <c r="G387" t="str">
        <f>"00514563"</f>
        <v>00514563</v>
      </c>
      <c r="H387">
        <v>43.2</v>
      </c>
      <c r="I387">
        <v>0</v>
      </c>
      <c r="M387">
        <v>4</v>
      </c>
      <c r="N387">
        <v>0</v>
      </c>
      <c r="O387">
        <v>0</v>
      </c>
      <c r="P387">
        <v>47.2</v>
      </c>
      <c r="Q387">
        <v>56</v>
      </c>
      <c r="R387">
        <v>56</v>
      </c>
      <c r="S387">
        <v>6</v>
      </c>
      <c r="T387">
        <v>0</v>
      </c>
      <c r="U387" s="1">
        <v>0</v>
      </c>
      <c r="V387">
        <v>109.2</v>
      </c>
    </row>
    <row r="388" spans="1:22" ht="15">
      <c r="A388" s="4">
        <v>381</v>
      </c>
      <c r="B388">
        <v>80</v>
      </c>
      <c r="C388" t="s">
        <v>994</v>
      </c>
      <c r="D388" t="s">
        <v>26</v>
      </c>
      <c r="E388" t="s">
        <v>157</v>
      </c>
      <c r="F388" t="s">
        <v>995</v>
      </c>
      <c r="G388" t="str">
        <f>"00481417"</f>
        <v>00481417</v>
      </c>
      <c r="H388">
        <v>43.2</v>
      </c>
      <c r="I388">
        <v>10</v>
      </c>
      <c r="L388">
        <v>4</v>
      </c>
      <c r="M388">
        <v>4</v>
      </c>
      <c r="N388">
        <v>4</v>
      </c>
      <c r="O388">
        <v>0</v>
      </c>
      <c r="P388">
        <v>61.2</v>
      </c>
      <c r="Q388">
        <v>48</v>
      </c>
      <c r="R388">
        <v>48</v>
      </c>
      <c r="S388">
        <v>0</v>
      </c>
      <c r="T388">
        <v>0</v>
      </c>
      <c r="U388" s="1">
        <v>0</v>
      </c>
      <c r="V388">
        <v>109.2</v>
      </c>
    </row>
    <row r="389" spans="1:22" ht="15">
      <c r="A389" s="4">
        <v>382</v>
      </c>
      <c r="B389">
        <v>2313</v>
      </c>
      <c r="C389" t="s">
        <v>996</v>
      </c>
      <c r="D389" t="s">
        <v>173</v>
      </c>
      <c r="E389" t="s">
        <v>23</v>
      </c>
      <c r="F389" t="s">
        <v>997</v>
      </c>
      <c r="G389" t="str">
        <f>"00483712"</f>
        <v>00483712</v>
      </c>
      <c r="H389">
        <v>35.12</v>
      </c>
      <c r="I389">
        <v>0</v>
      </c>
      <c r="M389">
        <v>0</v>
      </c>
      <c r="N389">
        <v>0</v>
      </c>
      <c r="O389">
        <v>0</v>
      </c>
      <c r="P389">
        <v>35.12</v>
      </c>
      <c r="Q389">
        <v>68</v>
      </c>
      <c r="R389">
        <v>68</v>
      </c>
      <c r="S389">
        <v>6</v>
      </c>
      <c r="T389">
        <v>0</v>
      </c>
      <c r="U389" s="1">
        <v>0</v>
      </c>
      <c r="V389">
        <v>109.12</v>
      </c>
    </row>
    <row r="390" spans="1:22" ht="15">
      <c r="A390" s="4">
        <v>383</v>
      </c>
      <c r="B390">
        <v>2184</v>
      </c>
      <c r="C390" t="s">
        <v>998</v>
      </c>
      <c r="D390" t="s">
        <v>999</v>
      </c>
      <c r="E390" t="s">
        <v>1000</v>
      </c>
      <c r="F390">
        <v>1206047</v>
      </c>
      <c r="G390" t="str">
        <f>"00151886"</f>
        <v>00151886</v>
      </c>
      <c r="H390">
        <v>21.08</v>
      </c>
      <c r="I390">
        <v>10</v>
      </c>
      <c r="L390">
        <v>4</v>
      </c>
      <c r="M390">
        <v>4</v>
      </c>
      <c r="N390">
        <v>4</v>
      </c>
      <c r="O390">
        <v>0</v>
      </c>
      <c r="P390">
        <v>39.08</v>
      </c>
      <c r="Q390">
        <v>70</v>
      </c>
      <c r="R390">
        <v>70</v>
      </c>
      <c r="S390">
        <v>0</v>
      </c>
      <c r="T390">
        <v>0</v>
      </c>
      <c r="U390" s="1">
        <v>0</v>
      </c>
      <c r="V390">
        <v>109.08</v>
      </c>
    </row>
    <row r="391" spans="1:22" ht="15">
      <c r="A391" s="4">
        <v>384</v>
      </c>
      <c r="B391">
        <v>1397</v>
      </c>
      <c r="C391" t="s">
        <v>1001</v>
      </c>
      <c r="D391" t="s">
        <v>160</v>
      </c>
      <c r="E391" t="s">
        <v>11</v>
      </c>
      <c r="F391" t="s">
        <v>1002</v>
      </c>
      <c r="G391" t="str">
        <f>"00496366"</f>
        <v>00496366</v>
      </c>
      <c r="H391">
        <v>36</v>
      </c>
      <c r="I391">
        <v>0</v>
      </c>
      <c r="M391">
        <v>0</v>
      </c>
      <c r="N391">
        <v>0</v>
      </c>
      <c r="O391">
        <v>0</v>
      </c>
      <c r="P391">
        <v>36</v>
      </c>
      <c r="Q391">
        <v>70</v>
      </c>
      <c r="R391">
        <v>70</v>
      </c>
      <c r="S391">
        <v>3</v>
      </c>
      <c r="T391">
        <v>0</v>
      </c>
      <c r="U391" s="1">
        <v>0</v>
      </c>
      <c r="V391">
        <v>109</v>
      </c>
    </row>
    <row r="392" spans="1:22" ht="15">
      <c r="A392" s="4">
        <v>385</v>
      </c>
      <c r="B392">
        <v>240</v>
      </c>
      <c r="C392" t="s">
        <v>1003</v>
      </c>
      <c r="D392" t="s">
        <v>121</v>
      </c>
      <c r="E392" t="s">
        <v>55</v>
      </c>
      <c r="F392" t="s">
        <v>1004</v>
      </c>
      <c r="G392" t="str">
        <f>"00507938"</f>
        <v>00507938</v>
      </c>
      <c r="H392">
        <v>38</v>
      </c>
      <c r="I392">
        <v>0</v>
      </c>
      <c r="M392">
        <v>4</v>
      </c>
      <c r="N392">
        <v>0</v>
      </c>
      <c r="O392">
        <v>0</v>
      </c>
      <c r="P392">
        <v>42</v>
      </c>
      <c r="Q392">
        <v>61</v>
      </c>
      <c r="R392">
        <v>61</v>
      </c>
      <c r="S392">
        <v>6</v>
      </c>
      <c r="T392">
        <v>0</v>
      </c>
      <c r="U392" s="1">
        <v>0</v>
      </c>
      <c r="V392">
        <v>109</v>
      </c>
    </row>
    <row r="393" spans="1:22" ht="15">
      <c r="A393" s="4">
        <v>386</v>
      </c>
      <c r="B393">
        <v>439</v>
      </c>
      <c r="C393" t="s">
        <v>1005</v>
      </c>
      <c r="D393" t="s">
        <v>1006</v>
      </c>
      <c r="E393" t="s">
        <v>1007</v>
      </c>
      <c r="F393" t="s">
        <v>1008</v>
      </c>
      <c r="G393" t="str">
        <f>"200801010727"</f>
        <v>200801010727</v>
      </c>
      <c r="H393">
        <v>37.84</v>
      </c>
      <c r="I393">
        <v>0</v>
      </c>
      <c r="M393">
        <v>4</v>
      </c>
      <c r="N393">
        <v>0</v>
      </c>
      <c r="O393">
        <v>0</v>
      </c>
      <c r="P393">
        <v>41.84</v>
      </c>
      <c r="Q393">
        <v>61</v>
      </c>
      <c r="R393">
        <v>61</v>
      </c>
      <c r="S393">
        <v>6</v>
      </c>
      <c r="T393">
        <v>0</v>
      </c>
      <c r="U393" s="1">
        <v>0</v>
      </c>
      <c r="V393">
        <v>108.84</v>
      </c>
    </row>
    <row r="394" spans="1:22" ht="15">
      <c r="A394" s="4">
        <v>387</v>
      </c>
      <c r="B394">
        <v>2569</v>
      </c>
      <c r="C394" t="s">
        <v>1009</v>
      </c>
      <c r="D394" t="s">
        <v>156</v>
      </c>
      <c r="E394" t="s">
        <v>90</v>
      </c>
      <c r="F394" t="s">
        <v>1010</v>
      </c>
      <c r="G394" t="str">
        <f>"00526027"</f>
        <v>00526027</v>
      </c>
      <c r="H394">
        <v>64.8</v>
      </c>
      <c r="I394">
        <v>10</v>
      </c>
      <c r="L394">
        <v>4</v>
      </c>
      <c r="M394">
        <v>4</v>
      </c>
      <c r="N394">
        <v>4</v>
      </c>
      <c r="O394">
        <v>0</v>
      </c>
      <c r="P394">
        <v>82.8</v>
      </c>
      <c r="Q394">
        <v>26</v>
      </c>
      <c r="R394">
        <v>26</v>
      </c>
      <c r="S394">
        <v>0</v>
      </c>
      <c r="T394">
        <v>0</v>
      </c>
      <c r="U394" s="1">
        <v>0</v>
      </c>
      <c r="V394">
        <v>108.8</v>
      </c>
    </row>
    <row r="395" spans="1:22" ht="15">
      <c r="A395" s="4">
        <v>388</v>
      </c>
      <c r="B395">
        <v>778</v>
      </c>
      <c r="C395" t="s">
        <v>1011</v>
      </c>
      <c r="D395" t="s">
        <v>1012</v>
      </c>
      <c r="E395" t="s">
        <v>90</v>
      </c>
      <c r="F395" t="s">
        <v>1013</v>
      </c>
      <c r="G395" t="str">
        <f>"201108000012"</f>
        <v>201108000012</v>
      </c>
      <c r="H395">
        <v>57.6</v>
      </c>
      <c r="I395">
        <v>0</v>
      </c>
      <c r="M395">
        <v>4</v>
      </c>
      <c r="N395">
        <v>0</v>
      </c>
      <c r="O395">
        <v>0</v>
      </c>
      <c r="P395">
        <v>61.6</v>
      </c>
      <c r="Q395">
        <v>41</v>
      </c>
      <c r="R395">
        <v>41</v>
      </c>
      <c r="S395">
        <v>6</v>
      </c>
      <c r="T395">
        <v>0</v>
      </c>
      <c r="U395" s="1">
        <v>0</v>
      </c>
      <c r="V395">
        <v>108.6</v>
      </c>
    </row>
    <row r="396" spans="1:22" ht="15">
      <c r="A396" s="4">
        <v>389</v>
      </c>
      <c r="B396">
        <v>2311</v>
      </c>
      <c r="C396" t="s">
        <v>1014</v>
      </c>
      <c r="D396" t="s">
        <v>14</v>
      </c>
      <c r="E396" t="s">
        <v>270</v>
      </c>
      <c r="F396" t="s">
        <v>1015</v>
      </c>
      <c r="G396" t="str">
        <f>"200801011573"</f>
        <v>200801011573</v>
      </c>
      <c r="H396">
        <v>57.6</v>
      </c>
      <c r="I396">
        <v>0</v>
      </c>
      <c r="M396">
        <v>4</v>
      </c>
      <c r="N396">
        <v>0</v>
      </c>
      <c r="O396">
        <v>0</v>
      </c>
      <c r="P396">
        <v>61.6</v>
      </c>
      <c r="Q396">
        <v>41</v>
      </c>
      <c r="R396">
        <v>41</v>
      </c>
      <c r="S396">
        <v>6</v>
      </c>
      <c r="T396">
        <v>0</v>
      </c>
      <c r="U396" s="1">
        <v>0</v>
      </c>
      <c r="V396">
        <v>108.6</v>
      </c>
    </row>
    <row r="397" spans="1:22" ht="15">
      <c r="A397" s="4">
        <v>390</v>
      </c>
      <c r="B397">
        <v>1794</v>
      </c>
      <c r="C397" t="s">
        <v>169</v>
      </c>
      <c r="D397" t="s">
        <v>89</v>
      </c>
      <c r="E397" t="s">
        <v>11</v>
      </c>
      <c r="F397" t="s">
        <v>1016</v>
      </c>
      <c r="G397" t="str">
        <f>"00507470"</f>
        <v>00507470</v>
      </c>
      <c r="H397">
        <v>14.4</v>
      </c>
      <c r="I397">
        <v>0</v>
      </c>
      <c r="L397">
        <v>4</v>
      </c>
      <c r="M397">
        <v>4</v>
      </c>
      <c r="N397">
        <v>4</v>
      </c>
      <c r="O397">
        <v>2</v>
      </c>
      <c r="P397">
        <v>24.4</v>
      </c>
      <c r="Q397">
        <v>78</v>
      </c>
      <c r="R397">
        <v>78</v>
      </c>
      <c r="S397">
        <v>6</v>
      </c>
      <c r="T397">
        <v>0</v>
      </c>
      <c r="U397" s="1">
        <v>0</v>
      </c>
      <c r="V397">
        <v>108.4</v>
      </c>
    </row>
    <row r="398" spans="1:22" ht="15">
      <c r="A398" s="4">
        <v>391</v>
      </c>
      <c r="B398">
        <v>1403</v>
      </c>
      <c r="C398" t="s">
        <v>1017</v>
      </c>
      <c r="D398" t="s">
        <v>1018</v>
      </c>
      <c r="E398" t="s">
        <v>927</v>
      </c>
      <c r="F398" t="s">
        <v>1019</v>
      </c>
      <c r="G398" t="str">
        <f>"00513143"</f>
        <v>00513143</v>
      </c>
      <c r="H398">
        <v>50.4</v>
      </c>
      <c r="I398">
        <v>0</v>
      </c>
      <c r="K398">
        <v>6</v>
      </c>
      <c r="M398">
        <v>4</v>
      </c>
      <c r="N398">
        <v>6</v>
      </c>
      <c r="O398">
        <v>2</v>
      </c>
      <c r="P398">
        <v>62.4</v>
      </c>
      <c r="Q398">
        <v>40</v>
      </c>
      <c r="R398">
        <v>40</v>
      </c>
      <c r="S398">
        <v>6</v>
      </c>
      <c r="T398">
        <v>0</v>
      </c>
      <c r="U398" s="1">
        <v>0</v>
      </c>
      <c r="V398">
        <v>108.4</v>
      </c>
    </row>
    <row r="399" spans="1:22" ht="15">
      <c r="A399" s="4">
        <v>392</v>
      </c>
      <c r="B399">
        <v>2048</v>
      </c>
      <c r="C399" t="s">
        <v>1020</v>
      </c>
      <c r="D399" t="s">
        <v>1021</v>
      </c>
      <c r="E399" t="s">
        <v>11</v>
      </c>
      <c r="F399" t="s">
        <v>1022</v>
      </c>
      <c r="G399" t="str">
        <f>"00162974"</f>
        <v>00162974</v>
      </c>
      <c r="H399">
        <v>38.24</v>
      </c>
      <c r="I399">
        <v>0</v>
      </c>
      <c r="M399">
        <v>4</v>
      </c>
      <c r="N399">
        <v>0</v>
      </c>
      <c r="O399">
        <v>0</v>
      </c>
      <c r="P399">
        <v>42.24</v>
      </c>
      <c r="Q399">
        <v>60</v>
      </c>
      <c r="R399">
        <v>60</v>
      </c>
      <c r="S399">
        <v>6</v>
      </c>
      <c r="T399">
        <v>0</v>
      </c>
      <c r="U399" s="1">
        <v>0</v>
      </c>
      <c r="V399">
        <v>108.24</v>
      </c>
    </row>
    <row r="400" spans="1:22" ht="15">
      <c r="A400" s="4">
        <v>393</v>
      </c>
      <c r="B400">
        <v>2264</v>
      </c>
      <c r="C400" t="s">
        <v>1023</v>
      </c>
      <c r="D400" t="s">
        <v>1024</v>
      </c>
      <c r="E400" t="s">
        <v>447</v>
      </c>
      <c r="F400" t="s">
        <v>1025</v>
      </c>
      <c r="G400" t="str">
        <f>"00148667"</f>
        <v>00148667</v>
      </c>
      <c r="H400">
        <v>43.2</v>
      </c>
      <c r="I400">
        <v>10</v>
      </c>
      <c r="M400">
        <v>4</v>
      </c>
      <c r="N400">
        <v>0</v>
      </c>
      <c r="O400">
        <v>2</v>
      </c>
      <c r="P400">
        <v>59.2</v>
      </c>
      <c r="Q400">
        <v>46</v>
      </c>
      <c r="R400">
        <v>46</v>
      </c>
      <c r="S400">
        <v>3</v>
      </c>
      <c r="T400">
        <v>0</v>
      </c>
      <c r="U400" s="1">
        <v>0</v>
      </c>
      <c r="V400">
        <v>108.2</v>
      </c>
    </row>
    <row r="401" spans="1:22" ht="15">
      <c r="A401" s="4">
        <v>394</v>
      </c>
      <c r="B401">
        <v>1861</v>
      </c>
      <c r="C401" t="s">
        <v>1026</v>
      </c>
      <c r="D401" t="s">
        <v>193</v>
      </c>
      <c r="E401" t="s">
        <v>23</v>
      </c>
      <c r="F401" t="s">
        <v>1027</v>
      </c>
      <c r="G401" t="str">
        <f>"00441559"</f>
        <v>00441559</v>
      </c>
      <c r="H401">
        <v>57.6</v>
      </c>
      <c r="I401">
        <v>0</v>
      </c>
      <c r="M401">
        <v>0</v>
      </c>
      <c r="N401">
        <v>0</v>
      </c>
      <c r="O401">
        <v>0</v>
      </c>
      <c r="P401">
        <v>57.6</v>
      </c>
      <c r="Q401">
        <v>50</v>
      </c>
      <c r="R401">
        <v>50</v>
      </c>
      <c r="S401">
        <v>0</v>
      </c>
      <c r="T401">
        <v>0</v>
      </c>
      <c r="U401" s="1">
        <v>0</v>
      </c>
      <c r="V401">
        <v>107.6</v>
      </c>
    </row>
    <row r="402" spans="1:22" ht="15">
      <c r="A402" s="4">
        <v>395</v>
      </c>
      <c r="B402">
        <v>1477</v>
      </c>
      <c r="C402" t="s">
        <v>1028</v>
      </c>
      <c r="D402" t="s">
        <v>1029</v>
      </c>
      <c r="E402" t="s">
        <v>90</v>
      </c>
      <c r="F402" t="s">
        <v>1030</v>
      </c>
      <c r="G402" t="str">
        <f>"00530209"</f>
        <v>00530209</v>
      </c>
      <c r="H402">
        <v>21.6</v>
      </c>
      <c r="I402">
        <v>10</v>
      </c>
      <c r="M402">
        <v>4</v>
      </c>
      <c r="N402">
        <v>0</v>
      </c>
      <c r="O402">
        <v>0</v>
      </c>
      <c r="P402">
        <v>35.6</v>
      </c>
      <c r="Q402">
        <v>66</v>
      </c>
      <c r="R402">
        <v>66</v>
      </c>
      <c r="S402">
        <v>6</v>
      </c>
      <c r="T402">
        <v>0</v>
      </c>
      <c r="U402" s="1">
        <v>0</v>
      </c>
      <c r="V402">
        <v>107.6</v>
      </c>
    </row>
    <row r="403" spans="1:22" ht="15">
      <c r="A403" s="4">
        <v>396</v>
      </c>
      <c r="B403">
        <v>1461</v>
      </c>
      <c r="C403" t="s">
        <v>1031</v>
      </c>
      <c r="D403" t="s">
        <v>89</v>
      </c>
      <c r="E403" t="s">
        <v>23</v>
      </c>
      <c r="F403" t="s">
        <v>1032</v>
      </c>
      <c r="G403" t="str">
        <f>"00509000"</f>
        <v>00509000</v>
      </c>
      <c r="H403">
        <v>50.4</v>
      </c>
      <c r="I403">
        <v>10</v>
      </c>
      <c r="L403">
        <v>4</v>
      </c>
      <c r="M403">
        <v>4</v>
      </c>
      <c r="N403">
        <v>4</v>
      </c>
      <c r="O403">
        <v>0</v>
      </c>
      <c r="P403">
        <v>68.4</v>
      </c>
      <c r="Q403">
        <v>39</v>
      </c>
      <c r="R403">
        <v>39</v>
      </c>
      <c r="S403">
        <v>0</v>
      </c>
      <c r="T403">
        <v>0</v>
      </c>
      <c r="U403" s="1">
        <v>0</v>
      </c>
      <c r="V403">
        <v>107.4</v>
      </c>
    </row>
    <row r="404" spans="1:22" ht="15">
      <c r="A404" s="4">
        <v>397</v>
      </c>
      <c r="B404">
        <v>688</v>
      </c>
      <c r="C404" t="s">
        <v>1033</v>
      </c>
      <c r="D404" t="s">
        <v>1034</v>
      </c>
      <c r="E404" t="s">
        <v>11</v>
      </c>
      <c r="F404" t="s">
        <v>1035</v>
      </c>
      <c r="G404" t="str">
        <f>"00520915"</f>
        <v>00520915</v>
      </c>
      <c r="H404">
        <v>43.2</v>
      </c>
      <c r="I404">
        <v>0</v>
      </c>
      <c r="J404">
        <v>8</v>
      </c>
      <c r="M404">
        <v>4</v>
      </c>
      <c r="N404">
        <v>8</v>
      </c>
      <c r="O404">
        <v>0</v>
      </c>
      <c r="P404">
        <v>55.2</v>
      </c>
      <c r="Q404">
        <v>52</v>
      </c>
      <c r="R404">
        <v>52</v>
      </c>
      <c r="S404">
        <v>0</v>
      </c>
      <c r="T404">
        <v>0</v>
      </c>
      <c r="U404" s="1">
        <v>0</v>
      </c>
      <c r="V404">
        <v>107.2</v>
      </c>
    </row>
    <row r="405" spans="1:22" ht="15">
      <c r="A405" s="4">
        <v>398</v>
      </c>
      <c r="B405">
        <v>1411</v>
      </c>
      <c r="C405" t="s">
        <v>96</v>
      </c>
      <c r="D405" t="s">
        <v>511</v>
      </c>
      <c r="E405" t="s">
        <v>11</v>
      </c>
      <c r="F405" t="s">
        <v>1036</v>
      </c>
      <c r="G405" t="str">
        <f>"00158761"</f>
        <v>00158761</v>
      </c>
      <c r="H405">
        <v>43.2</v>
      </c>
      <c r="I405">
        <v>0</v>
      </c>
      <c r="L405">
        <v>4</v>
      </c>
      <c r="M405">
        <v>4</v>
      </c>
      <c r="N405">
        <v>4</v>
      </c>
      <c r="O405">
        <v>2</v>
      </c>
      <c r="P405">
        <v>53.2</v>
      </c>
      <c r="Q405">
        <v>51</v>
      </c>
      <c r="R405">
        <v>51</v>
      </c>
      <c r="S405">
        <v>3</v>
      </c>
      <c r="T405">
        <v>0</v>
      </c>
      <c r="U405" s="1">
        <v>0</v>
      </c>
      <c r="V405">
        <v>107.2</v>
      </c>
    </row>
    <row r="406" spans="1:22" ht="15">
      <c r="A406" s="4">
        <v>399</v>
      </c>
      <c r="B406">
        <v>3281</v>
      </c>
      <c r="C406" t="s">
        <v>289</v>
      </c>
      <c r="D406" t="s">
        <v>978</v>
      </c>
      <c r="E406" t="s">
        <v>327</v>
      </c>
      <c r="F406" t="s">
        <v>1037</v>
      </c>
      <c r="G406" t="str">
        <f>"201511026824"</f>
        <v>201511026824</v>
      </c>
      <c r="H406">
        <v>37.16</v>
      </c>
      <c r="I406">
        <v>0</v>
      </c>
      <c r="M406">
        <v>4</v>
      </c>
      <c r="N406">
        <v>0</v>
      </c>
      <c r="O406">
        <v>0</v>
      </c>
      <c r="P406">
        <v>41.16</v>
      </c>
      <c r="Q406">
        <v>60</v>
      </c>
      <c r="R406">
        <v>60</v>
      </c>
      <c r="S406">
        <v>6</v>
      </c>
      <c r="T406">
        <v>0</v>
      </c>
      <c r="U406" s="1">
        <v>0</v>
      </c>
      <c r="V406">
        <v>107.16</v>
      </c>
    </row>
    <row r="407" spans="1:22" ht="15">
      <c r="A407" s="4">
        <v>400</v>
      </c>
      <c r="B407">
        <v>140</v>
      </c>
      <c r="C407" t="s">
        <v>1038</v>
      </c>
      <c r="D407" t="s">
        <v>89</v>
      </c>
      <c r="E407" t="s">
        <v>15</v>
      </c>
      <c r="F407" t="s">
        <v>1039</v>
      </c>
      <c r="G407" t="str">
        <f>"00441677"</f>
        <v>00441677</v>
      </c>
      <c r="H407">
        <v>72</v>
      </c>
      <c r="I407">
        <v>0</v>
      </c>
      <c r="M407">
        <v>0</v>
      </c>
      <c r="N407">
        <v>0</v>
      </c>
      <c r="O407">
        <v>0</v>
      </c>
      <c r="P407">
        <v>72</v>
      </c>
      <c r="Q407">
        <v>32</v>
      </c>
      <c r="R407">
        <v>32</v>
      </c>
      <c r="S407">
        <v>3</v>
      </c>
      <c r="T407">
        <v>0</v>
      </c>
      <c r="U407" s="1">
        <v>0</v>
      </c>
      <c r="V407">
        <v>107</v>
      </c>
    </row>
    <row r="408" spans="1:22" ht="15">
      <c r="A408" s="4">
        <v>401</v>
      </c>
      <c r="B408">
        <v>1446</v>
      </c>
      <c r="C408" t="s">
        <v>1040</v>
      </c>
      <c r="D408" t="s">
        <v>603</v>
      </c>
      <c r="E408" t="s">
        <v>112</v>
      </c>
      <c r="F408" t="s">
        <v>1041</v>
      </c>
      <c r="G408" t="str">
        <f>"00497283"</f>
        <v>00497283</v>
      </c>
      <c r="H408">
        <v>36</v>
      </c>
      <c r="I408">
        <v>0</v>
      </c>
      <c r="L408">
        <v>4</v>
      </c>
      <c r="M408">
        <v>4</v>
      </c>
      <c r="N408">
        <v>4</v>
      </c>
      <c r="O408">
        <v>0</v>
      </c>
      <c r="P408">
        <v>44</v>
      </c>
      <c r="Q408">
        <v>60</v>
      </c>
      <c r="R408">
        <v>60</v>
      </c>
      <c r="S408">
        <v>3</v>
      </c>
      <c r="T408">
        <v>0</v>
      </c>
      <c r="U408" s="1">
        <v>0</v>
      </c>
      <c r="V408">
        <v>107</v>
      </c>
    </row>
    <row r="409" spans="1:22" ht="15">
      <c r="A409" s="4">
        <v>402</v>
      </c>
      <c r="B409">
        <v>3050</v>
      </c>
      <c r="C409" t="s">
        <v>1042</v>
      </c>
      <c r="D409" t="s">
        <v>189</v>
      </c>
      <c r="E409" t="s">
        <v>675</v>
      </c>
      <c r="F409" t="s">
        <v>1043</v>
      </c>
      <c r="G409" t="str">
        <f>"00503461"</f>
        <v>00503461</v>
      </c>
      <c r="H409">
        <v>72</v>
      </c>
      <c r="I409">
        <v>0</v>
      </c>
      <c r="L409">
        <v>4</v>
      </c>
      <c r="M409">
        <v>0</v>
      </c>
      <c r="N409">
        <v>4</v>
      </c>
      <c r="O409">
        <v>0</v>
      </c>
      <c r="P409">
        <v>76</v>
      </c>
      <c r="Q409">
        <v>25</v>
      </c>
      <c r="R409">
        <v>25</v>
      </c>
      <c r="S409">
        <v>6</v>
      </c>
      <c r="T409">
        <v>0</v>
      </c>
      <c r="U409" s="1">
        <v>0</v>
      </c>
      <c r="V409">
        <v>107</v>
      </c>
    </row>
    <row r="410" spans="1:22" ht="15">
      <c r="A410" s="4">
        <v>403</v>
      </c>
      <c r="B410">
        <v>643</v>
      </c>
      <c r="C410" t="s">
        <v>1044</v>
      </c>
      <c r="D410" t="s">
        <v>14</v>
      </c>
      <c r="E410" t="s">
        <v>1045</v>
      </c>
      <c r="F410" t="s">
        <v>1046</v>
      </c>
      <c r="G410" t="str">
        <f>"200810000943"</f>
        <v>200810000943</v>
      </c>
      <c r="H410">
        <v>64.8</v>
      </c>
      <c r="I410">
        <v>0</v>
      </c>
      <c r="L410">
        <v>4</v>
      </c>
      <c r="M410">
        <v>4</v>
      </c>
      <c r="N410">
        <v>4</v>
      </c>
      <c r="O410">
        <v>2</v>
      </c>
      <c r="P410">
        <v>74.8</v>
      </c>
      <c r="Q410">
        <v>26</v>
      </c>
      <c r="R410">
        <v>26</v>
      </c>
      <c r="S410">
        <v>6</v>
      </c>
      <c r="T410">
        <v>0</v>
      </c>
      <c r="U410" s="1">
        <v>0</v>
      </c>
      <c r="V410">
        <v>106.8</v>
      </c>
    </row>
    <row r="411" spans="1:22" ht="15">
      <c r="A411" s="4">
        <v>404</v>
      </c>
      <c r="B411">
        <v>1932</v>
      </c>
      <c r="C411" t="s">
        <v>1047</v>
      </c>
      <c r="D411" t="s">
        <v>453</v>
      </c>
      <c r="E411" t="s">
        <v>90</v>
      </c>
      <c r="F411" t="s">
        <v>1048</v>
      </c>
      <c r="G411" t="str">
        <f>"00500218"</f>
        <v>00500218</v>
      </c>
      <c r="H411">
        <v>32.72</v>
      </c>
      <c r="I411">
        <v>0</v>
      </c>
      <c r="L411">
        <v>4</v>
      </c>
      <c r="M411">
        <v>4</v>
      </c>
      <c r="N411">
        <v>4</v>
      </c>
      <c r="O411">
        <v>0</v>
      </c>
      <c r="P411">
        <v>40.72</v>
      </c>
      <c r="Q411">
        <v>60</v>
      </c>
      <c r="R411">
        <v>60</v>
      </c>
      <c r="S411">
        <v>6</v>
      </c>
      <c r="T411">
        <v>0</v>
      </c>
      <c r="U411" s="1">
        <v>0</v>
      </c>
      <c r="V411">
        <v>106.72</v>
      </c>
    </row>
    <row r="412" spans="1:22" ht="15">
      <c r="A412" s="4">
        <v>405</v>
      </c>
      <c r="B412">
        <v>928</v>
      </c>
      <c r="C412" t="s">
        <v>1049</v>
      </c>
      <c r="D412" t="s">
        <v>90</v>
      </c>
      <c r="E412" t="s">
        <v>23</v>
      </c>
      <c r="F412" t="s">
        <v>1050</v>
      </c>
      <c r="G412" t="str">
        <f>"00500557"</f>
        <v>00500557</v>
      </c>
      <c r="H412">
        <v>21.6</v>
      </c>
      <c r="I412">
        <v>0</v>
      </c>
      <c r="L412">
        <v>4</v>
      </c>
      <c r="M412">
        <v>0</v>
      </c>
      <c r="N412">
        <v>4</v>
      </c>
      <c r="O412">
        <v>0</v>
      </c>
      <c r="P412">
        <v>25.6</v>
      </c>
      <c r="Q412">
        <v>75</v>
      </c>
      <c r="R412">
        <v>75</v>
      </c>
      <c r="S412">
        <v>6</v>
      </c>
      <c r="T412">
        <v>0</v>
      </c>
      <c r="U412" s="1">
        <v>0</v>
      </c>
      <c r="V412">
        <v>106.6</v>
      </c>
    </row>
    <row r="413" spans="1:22" ht="15">
      <c r="A413" s="4">
        <v>406</v>
      </c>
      <c r="B413">
        <v>1022</v>
      </c>
      <c r="C413" t="s">
        <v>127</v>
      </c>
      <c r="D413" t="s">
        <v>1051</v>
      </c>
      <c r="E413" t="s">
        <v>732</v>
      </c>
      <c r="F413" t="s">
        <v>1052</v>
      </c>
      <c r="G413" t="str">
        <f>"00517164"</f>
        <v>00517164</v>
      </c>
      <c r="H413">
        <v>57.6</v>
      </c>
      <c r="I413">
        <v>0</v>
      </c>
      <c r="L413">
        <v>4</v>
      </c>
      <c r="M413">
        <v>4</v>
      </c>
      <c r="N413">
        <v>4</v>
      </c>
      <c r="O413">
        <v>0</v>
      </c>
      <c r="P413">
        <v>65.6</v>
      </c>
      <c r="Q413">
        <v>41</v>
      </c>
      <c r="R413">
        <v>41</v>
      </c>
      <c r="S413">
        <v>0</v>
      </c>
      <c r="T413">
        <v>0</v>
      </c>
      <c r="U413" s="1">
        <v>0</v>
      </c>
      <c r="V413">
        <v>106.6</v>
      </c>
    </row>
    <row r="414" spans="1:22" ht="15">
      <c r="A414" s="4">
        <v>407</v>
      </c>
      <c r="B414">
        <v>1163</v>
      </c>
      <c r="C414" t="s">
        <v>1053</v>
      </c>
      <c r="D414" t="s">
        <v>1054</v>
      </c>
      <c r="E414" t="s">
        <v>1055</v>
      </c>
      <c r="F414" t="s">
        <v>1056</v>
      </c>
      <c r="G414" t="str">
        <f>"00480073"</f>
        <v>00480073</v>
      </c>
      <c r="H414">
        <v>50.4</v>
      </c>
      <c r="I414">
        <v>0</v>
      </c>
      <c r="M414">
        <v>4</v>
      </c>
      <c r="N414">
        <v>0</v>
      </c>
      <c r="O414">
        <v>0</v>
      </c>
      <c r="P414">
        <v>54.4</v>
      </c>
      <c r="Q414">
        <v>52</v>
      </c>
      <c r="R414">
        <v>52</v>
      </c>
      <c r="S414">
        <v>0</v>
      </c>
      <c r="T414">
        <v>0</v>
      </c>
      <c r="U414" s="1">
        <v>0</v>
      </c>
      <c r="V414">
        <v>106.4</v>
      </c>
    </row>
    <row r="415" spans="1:22" ht="15">
      <c r="A415" s="4">
        <v>408</v>
      </c>
      <c r="B415">
        <v>3311</v>
      </c>
      <c r="C415" t="s">
        <v>1057</v>
      </c>
      <c r="D415" t="s">
        <v>26</v>
      </c>
      <c r="E415" t="s">
        <v>732</v>
      </c>
      <c r="F415" t="s">
        <v>1058</v>
      </c>
      <c r="G415" t="str">
        <f>"00529462"</f>
        <v>00529462</v>
      </c>
      <c r="H415">
        <v>50.4</v>
      </c>
      <c r="I415">
        <v>10</v>
      </c>
      <c r="L415">
        <v>4</v>
      </c>
      <c r="M415">
        <v>4</v>
      </c>
      <c r="N415">
        <v>4</v>
      </c>
      <c r="O415">
        <v>0</v>
      </c>
      <c r="P415">
        <v>68.4</v>
      </c>
      <c r="Q415">
        <v>32</v>
      </c>
      <c r="R415">
        <v>32</v>
      </c>
      <c r="S415">
        <v>6</v>
      </c>
      <c r="T415">
        <v>0</v>
      </c>
      <c r="U415" s="1">
        <v>0</v>
      </c>
      <c r="V415">
        <v>106.4</v>
      </c>
    </row>
    <row r="416" spans="1:22" ht="15">
      <c r="A416" s="4">
        <v>409</v>
      </c>
      <c r="B416">
        <v>2282</v>
      </c>
      <c r="C416" t="s">
        <v>1059</v>
      </c>
      <c r="D416" t="s">
        <v>14</v>
      </c>
      <c r="E416" t="s">
        <v>1060</v>
      </c>
      <c r="F416" t="s">
        <v>1061</v>
      </c>
      <c r="G416" t="str">
        <f>"00530675"</f>
        <v>00530675</v>
      </c>
      <c r="H416">
        <v>31.28</v>
      </c>
      <c r="I416">
        <v>0</v>
      </c>
      <c r="M416">
        <v>0</v>
      </c>
      <c r="N416">
        <v>0</v>
      </c>
      <c r="O416">
        <v>0</v>
      </c>
      <c r="P416">
        <v>31.28</v>
      </c>
      <c r="Q416">
        <v>69</v>
      </c>
      <c r="R416">
        <v>69</v>
      </c>
      <c r="S416">
        <v>6</v>
      </c>
      <c r="T416">
        <v>0</v>
      </c>
      <c r="U416" s="1">
        <v>0</v>
      </c>
      <c r="V416">
        <v>106.28</v>
      </c>
    </row>
    <row r="417" spans="1:22" ht="15">
      <c r="A417" s="4">
        <v>410</v>
      </c>
      <c r="B417">
        <v>1288</v>
      </c>
      <c r="C417" t="s">
        <v>1062</v>
      </c>
      <c r="D417" t="s">
        <v>124</v>
      </c>
      <c r="E417" t="s">
        <v>73</v>
      </c>
      <c r="F417" t="s">
        <v>1063</v>
      </c>
      <c r="G417" t="str">
        <f>"00511810"</f>
        <v>00511810</v>
      </c>
      <c r="H417">
        <v>43.2</v>
      </c>
      <c r="I417">
        <v>0</v>
      </c>
      <c r="M417">
        <v>4</v>
      </c>
      <c r="N417">
        <v>0</v>
      </c>
      <c r="O417">
        <v>0</v>
      </c>
      <c r="P417">
        <v>47.2</v>
      </c>
      <c r="Q417">
        <v>53</v>
      </c>
      <c r="R417">
        <v>53</v>
      </c>
      <c r="S417">
        <v>6</v>
      </c>
      <c r="T417">
        <v>0</v>
      </c>
      <c r="U417" s="1">
        <v>0</v>
      </c>
      <c r="V417">
        <v>106.2</v>
      </c>
    </row>
    <row r="418" spans="1:22" ht="15">
      <c r="A418" s="4">
        <v>411</v>
      </c>
      <c r="B418">
        <v>3199</v>
      </c>
      <c r="C418" t="s">
        <v>1064</v>
      </c>
      <c r="D418" t="s">
        <v>76</v>
      </c>
      <c r="E418" t="s">
        <v>157</v>
      </c>
      <c r="F418" t="s">
        <v>1065</v>
      </c>
      <c r="G418" t="str">
        <f>"00506611"</f>
        <v>00506611</v>
      </c>
      <c r="H418">
        <v>31.12</v>
      </c>
      <c r="I418">
        <v>0</v>
      </c>
      <c r="M418">
        <v>0</v>
      </c>
      <c r="N418">
        <v>0</v>
      </c>
      <c r="O418">
        <v>0</v>
      </c>
      <c r="P418">
        <v>31.12</v>
      </c>
      <c r="Q418">
        <v>69</v>
      </c>
      <c r="R418">
        <v>69</v>
      </c>
      <c r="S418">
        <v>6</v>
      </c>
      <c r="T418">
        <v>0</v>
      </c>
      <c r="U418" s="1">
        <v>0</v>
      </c>
      <c r="V418">
        <v>106.12</v>
      </c>
    </row>
    <row r="419" spans="1:22" ht="15">
      <c r="A419" s="4">
        <v>412</v>
      </c>
      <c r="B419">
        <v>2798</v>
      </c>
      <c r="C419" t="s">
        <v>1066</v>
      </c>
      <c r="D419" t="s">
        <v>1067</v>
      </c>
      <c r="E419" t="s">
        <v>23</v>
      </c>
      <c r="F419" t="s">
        <v>1068</v>
      </c>
      <c r="G419" t="str">
        <f>"00152255"</f>
        <v>00152255</v>
      </c>
      <c r="H419">
        <v>36</v>
      </c>
      <c r="I419">
        <v>10</v>
      </c>
      <c r="M419">
        <v>4</v>
      </c>
      <c r="N419">
        <v>0</v>
      </c>
      <c r="O419">
        <v>0</v>
      </c>
      <c r="P419">
        <v>50</v>
      </c>
      <c r="Q419">
        <v>56</v>
      </c>
      <c r="R419">
        <v>56</v>
      </c>
      <c r="S419">
        <v>0</v>
      </c>
      <c r="T419">
        <v>0</v>
      </c>
      <c r="U419" s="1">
        <v>0</v>
      </c>
      <c r="V419">
        <v>106</v>
      </c>
    </row>
    <row r="420" spans="1:22" ht="15">
      <c r="A420" s="4">
        <v>413</v>
      </c>
      <c r="B420">
        <v>64</v>
      </c>
      <c r="C420" t="s">
        <v>484</v>
      </c>
      <c r="D420" t="s">
        <v>339</v>
      </c>
      <c r="E420" t="s">
        <v>1069</v>
      </c>
      <c r="F420" t="s">
        <v>1070</v>
      </c>
      <c r="G420" t="str">
        <f>"00480060"</f>
        <v>00480060</v>
      </c>
      <c r="H420">
        <v>64.8</v>
      </c>
      <c r="I420">
        <v>0</v>
      </c>
      <c r="L420">
        <v>4</v>
      </c>
      <c r="M420">
        <v>4</v>
      </c>
      <c r="N420">
        <v>4</v>
      </c>
      <c r="O420">
        <v>0</v>
      </c>
      <c r="P420">
        <v>72.8</v>
      </c>
      <c r="Q420">
        <v>33</v>
      </c>
      <c r="R420">
        <v>33</v>
      </c>
      <c r="S420">
        <v>0</v>
      </c>
      <c r="T420">
        <v>0</v>
      </c>
      <c r="U420" s="1">
        <v>0</v>
      </c>
      <c r="V420">
        <v>105.8</v>
      </c>
    </row>
    <row r="421" spans="1:22" ht="15">
      <c r="A421" s="4">
        <v>414</v>
      </c>
      <c r="B421">
        <v>890</v>
      </c>
      <c r="C421" t="s">
        <v>1071</v>
      </c>
      <c r="D421" t="s">
        <v>477</v>
      </c>
      <c r="E421" t="s">
        <v>15</v>
      </c>
      <c r="F421" t="s">
        <v>1072</v>
      </c>
      <c r="G421" t="str">
        <f>"00248934"</f>
        <v>00248934</v>
      </c>
      <c r="H421">
        <v>29.32</v>
      </c>
      <c r="I421">
        <v>0</v>
      </c>
      <c r="M421">
        <v>0</v>
      </c>
      <c r="N421">
        <v>0</v>
      </c>
      <c r="O421">
        <v>0</v>
      </c>
      <c r="P421">
        <v>29.32</v>
      </c>
      <c r="Q421">
        <v>76</v>
      </c>
      <c r="R421">
        <v>76</v>
      </c>
      <c r="S421">
        <v>0</v>
      </c>
      <c r="T421">
        <v>0</v>
      </c>
      <c r="U421" s="1">
        <v>0</v>
      </c>
      <c r="V421">
        <v>105.32</v>
      </c>
    </row>
    <row r="422" spans="1:22" ht="15">
      <c r="A422" s="4">
        <v>415</v>
      </c>
      <c r="B422">
        <v>811</v>
      </c>
      <c r="C422" t="s">
        <v>1073</v>
      </c>
      <c r="D422" t="s">
        <v>40</v>
      </c>
      <c r="E422" t="s">
        <v>73</v>
      </c>
      <c r="F422" t="s">
        <v>1074</v>
      </c>
      <c r="G422" t="str">
        <f>"00531511"</f>
        <v>00531511</v>
      </c>
      <c r="H422">
        <v>34.24</v>
      </c>
      <c r="I422">
        <v>0</v>
      </c>
      <c r="M422">
        <v>4</v>
      </c>
      <c r="N422">
        <v>0</v>
      </c>
      <c r="O422">
        <v>0</v>
      </c>
      <c r="P422">
        <v>38.24</v>
      </c>
      <c r="Q422">
        <v>61</v>
      </c>
      <c r="R422">
        <v>61</v>
      </c>
      <c r="S422">
        <v>6</v>
      </c>
      <c r="T422">
        <v>0</v>
      </c>
      <c r="U422" s="1">
        <v>0</v>
      </c>
      <c r="V422">
        <v>105.24</v>
      </c>
    </row>
    <row r="423" spans="1:22" ht="15">
      <c r="A423" s="4">
        <v>416</v>
      </c>
      <c r="B423">
        <v>1639</v>
      </c>
      <c r="C423" t="s">
        <v>1075</v>
      </c>
      <c r="D423" t="s">
        <v>22</v>
      </c>
      <c r="E423" t="s">
        <v>65</v>
      </c>
      <c r="F423" t="s">
        <v>1076</v>
      </c>
      <c r="G423" t="str">
        <f>"00530403"</f>
        <v>00530403</v>
      </c>
      <c r="H423">
        <v>71.21</v>
      </c>
      <c r="I423">
        <v>0</v>
      </c>
      <c r="M423">
        <v>4</v>
      </c>
      <c r="N423">
        <v>0</v>
      </c>
      <c r="O423">
        <v>0</v>
      </c>
      <c r="P423">
        <v>75.21</v>
      </c>
      <c r="Q423">
        <v>24</v>
      </c>
      <c r="R423">
        <v>24</v>
      </c>
      <c r="S423">
        <v>6</v>
      </c>
      <c r="T423">
        <v>0</v>
      </c>
      <c r="U423" s="1">
        <v>0</v>
      </c>
      <c r="V423">
        <v>105.21</v>
      </c>
    </row>
    <row r="424" spans="1:22" ht="15">
      <c r="A424" s="4">
        <v>417</v>
      </c>
      <c r="B424">
        <v>238</v>
      </c>
      <c r="C424" t="s">
        <v>1077</v>
      </c>
      <c r="D424" t="s">
        <v>14</v>
      </c>
      <c r="E424" t="s">
        <v>15</v>
      </c>
      <c r="F424" t="s">
        <v>1078</v>
      </c>
      <c r="G424" t="str">
        <f>"00525314"</f>
        <v>00525314</v>
      </c>
      <c r="H424">
        <v>43.2</v>
      </c>
      <c r="I424">
        <v>10</v>
      </c>
      <c r="L424">
        <v>4</v>
      </c>
      <c r="M424">
        <v>4</v>
      </c>
      <c r="N424">
        <v>4</v>
      </c>
      <c r="O424">
        <v>0</v>
      </c>
      <c r="P424">
        <v>61.2</v>
      </c>
      <c r="Q424">
        <v>38</v>
      </c>
      <c r="R424">
        <v>38</v>
      </c>
      <c r="S424">
        <v>6</v>
      </c>
      <c r="T424">
        <v>0</v>
      </c>
      <c r="U424" s="1">
        <v>0</v>
      </c>
      <c r="V424">
        <v>105.2</v>
      </c>
    </row>
    <row r="425" spans="1:22" ht="15">
      <c r="A425" s="4">
        <v>418</v>
      </c>
      <c r="B425">
        <v>2605</v>
      </c>
      <c r="C425" t="s">
        <v>1079</v>
      </c>
      <c r="D425" t="s">
        <v>1080</v>
      </c>
      <c r="E425" t="s">
        <v>807</v>
      </c>
      <c r="F425" t="s">
        <v>1081</v>
      </c>
      <c r="G425" t="str">
        <f>"00519862"</f>
        <v>00519862</v>
      </c>
      <c r="H425">
        <v>40</v>
      </c>
      <c r="I425">
        <v>0</v>
      </c>
      <c r="L425">
        <v>4</v>
      </c>
      <c r="M425">
        <v>4</v>
      </c>
      <c r="N425">
        <v>4</v>
      </c>
      <c r="O425">
        <v>2</v>
      </c>
      <c r="P425">
        <v>50</v>
      </c>
      <c r="Q425">
        <v>49</v>
      </c>
      <c r="R425">
        <v>49</v>
      </c>
      <c r="S425">
        <v>6</v>
      </c>
      <c r="T425">
        <v>0</v>
      </c>
      <c r="U425" s="1">
        <v>0</v>
      </c>
      <c r="V425">
        <v>105</v>
      </c>
    </row>
    <row r="426" spans="1:22" ht="15">
      <c r="A426" s="4">
        <v>419</v>
      </c>
      <c r="B426">
        <v>888</v>
      </c>
      <c r="C426" t="s">
        <v>96</v>
      </c>
      <c r="D426" t="s">
        <v>89</v>
      </c>
      <c r="E426" t="s">
        <v>90</v>
      </c>
      <c r="F426" t="s">
        <v>1082</v>
      </c>
      <c r="G426" t="str">
        <f>"201304000531"</f>
        <v>201304000531</v>
      </c>
      <c r="H426">
        <v>36</v>
      </c>
      <c r="I426">
        <v>0</v>
      </c>
      <c r="J426">
        <v>8</v>
      </c>
      <c r="K426">
        <v>6</v>
      </c>
      <c r="M426">
        <v>4</v>
      </c>
      <c r="N426">
        <v>14</v>
      </c>
      <c r="O426">
        <v>2</v>
      </c>
      <c r="P426">
        <v>56</v>
      </c>
      <c r="Q426">
        <v>46</v>
      </c>
      <c r="R426">
        <v>46</v>
      </c>
      <c r="S426">
        <v>3</v>
      </c>
      <c r="T426">
        <v>0</v>
      </c>
      <c r="U426" s="1">
        <v>0</v>
      </c>
      <c r="V426">
        <v>105</v>
      </c>
    </row>
    <row r="427" spans="1:22" ht="15">
      <c r="A427" s="4">
        <v>420</v>
      </c>
      <c r="B427">
        <v>1486</v>
      </c>
      <c r="C427" t="s">
        <v>876</v>
      </c>
      <c r="D427" t="s">
        <v>127</v>
      </c>
      <c r="E427" t="s">
        <v>800</v>
      </c>
      <c r="F427" t="s">
        <v>1083</v>
      </c>
      <c r="G427" t="str">
        <f>"00530417"</f>
        <v>00530417</v>
      </c>
      <c r="H427">
        <v>64.8</v>
      </c>
      <c r="I427">
        <v>0</v>
      </c>
      <c r="L427">
        <v>4</v>
      </c>
      <c r="M427">
        <v>4</v>
      </c>
      <c r="N427">
        <v>4</v>
      </c>
      <c r="O427">
        <v>0</v>
      </c>
      <c r="P427">
        <v>72.8</v>
      </c>
      <c r="Q427">
        <v>29</v>
      </c>
      <c r="R427">
        <v>29</v>
      </c>
      <c r="S427">
        <v>3</v>
      </c>
      <c r="T427">
        <v>0</v>
      </c>
      <c r="U427" s="1">
        <v>0</v>
      </c>
      <c r="V427">
        <v>104.8</v>
      </c>
    </row>
    <row r="428" spans="1:22" ht="15">
      <c r="A428" s="4">
        <v>421</v>
      </c>
      <c r="B428">
        <v>822</v>
      </c>
      <c r="C428" t="s">
        <v>1084</v>
      </c>
      <c r="D428" t="s">
        <v>643</v>
      </c>
      <c r="E428" t="s">
        <v>15</v>
      </c>
      <c r="F428" t="s">
        <v>1085</v>
      </c>
      <c r="G428" t="str">
        <f>"00499043"</f>
        <v>00499043</v>
      </c>
      <c r="H428">
        <v>64.8</v>
      </c>
      <c r="I428">
        <v>0</v>
      </c>
      <c r="M428">
        <v>4</v>
      </c>
      <c r="N428">
        <v>0</v>
      </c>
      <c r="O428">
        <v>0</v>
      </c>
      <c r="P428">
        <v>68.8</v>
      </c>
      <c r="Q428">
        <v>33</v>
      </c>
      <c r="R428">
        <v>33</v>
      </c>
      <c r="S428">
        <v>3</v>
      </c>
      <c r="T428">
        <v>0</v>
      </c>
      <c r="U428" s="1">
        <v>0</v>
      </c>
      <c r="V428">
        <v>104.8</v>
      </c>
    </row>
    <row r="429" spans="1:22" ht="15">
      <c r="A429" s="4">
        <v>422</v>
      </c>
      <c r="B429">
        <v>3280</v>
      </c>
      <c r="C429" t="s">
        <v>1086</v>
      </c>
      <c r="D429" t="s">
        <v>211</v>
      </c>
      <c r="E429" t="s">
        <v>23</v>
      </c>
      <c r="F429" t="s">
        <v>1087</v>
      </c>
      <c r="G429" t="str">
        <f>"00508303"</f>
        <v>00508303</v>
      </c>
      <c r="H429">
        <v>57.6</v>
      </c>
      <c r="I429">
        <v>0</v>
      </c>
      <c r="M429">
        <v>4</v>
      </c>
      <c r="N429">
        <v>0</v>
      </c>
      <c r="O429">
        <v>2</v>
      </c>
      <c r="P429">
        <v>63.6</v>
      </c>
      <c r="Q429">
        <v>41</v>
      </c>
      <c r="R429">
        <v>41</v>
      </c>
      <c r="S429">
        <v>0</v>
      </c>
      <c r="T429">
        <v>0</v>
      </c>
      <c r="U429" s="1">
        <v>0</v>
      </c>
      <c r="V429">
        <v>104.6</v>
      </c>
    </row>
    <row r="430" spans="1:22" ht="15">
      <c r="A430" s="4">
        <v>423</v>
      </c>
      <c r="B430">
        <v>2081</v>
      </c>
      <c r="C430" t="s">
        <v>1088</v>
      </c>
      <c r="D430" t="s">
        <v>582</v>
      </c>
      <c r="E430" t="s">
        <v>23</v>
      </c>
      <c r="F430" t="s">
        <v>1089</v>
      </c>
      <c r="G430" t="str">
        <f>"00490807"</f>
        <v>00490807</v>
      </c>
      <c r="H430">
        <v>26.56</v>
      </c>
      <c r="I430">
        <v>0</v>
      </c>
      <c r="M430">
        <v>4</v>
      </c>
      <c r="N430">
        <v>0</v>
      </c>
      <c r="O430">
        <v>0</v>
      </c>
      <c r="P430">
        <v>30.56</v>
      </c>
      <c r="Q430">
        <v>62</v>
      </c>
      <c r="R430">
        <v>62</v>
      </c>
      <c r="S430">
        <v>12</v>
      </c>
      <c r="T430">
        <v>0</v>
      </c>
      <c r="U430" s="1">
        <v>0</v>
      </c>
      <c r="V430">
        <v>104.56</v>
      </c>
    </row>
    <row r="431" spans="1:22" ht="15">
      <c r="A431" s="4">
        <v>424</v>
      </c>
      <c r="B431">
        <v>3215</v>
      </c>
      <c r="C431" t="s">
        <v>1090</v>
      </c>
      <c r="D431" t="s">
        <v>1091</v>
      </c>
      <c r="E431" t="s">
        <v>99</v>
      </c>
      <c r="F431" t="s">
        <v>1092</v>
      </c>
      <c r="G431" t="str">
        <f>"00510199"</f>
        <v>00510199</v>
      </c>
      <c r="H431">
        <v>26.56</v>
      </c>
      <c r="I431">
        <v>0</v>
      </c>
      <c r="M431">
        <v>0</v>
      </c>
      <c r="N431">
        <v>0</v>
      </c>
      <c r="O431">
        <v>0</v>
      </c>
      <c r="P431">
        <v>26.56</v>
      </c>
      <c r="Q431">
        <v>69</v>
      </c>
      <c r="R431">
        <v>69</v>
      </c>
      <c r="S431">
        <v>9</v>
      </c>
      <c r="T431">
        <v>0</v>
      </c>
      <c r="U431" s="1">
        <v>0</v>
      </c>
      <c r="V431">
        <v>104.56</v>
      </c>
    </row>
    <row r="432" spans="1:22" ht="15">
      <c r="A432" s="4">
        <v>425</v>
      </c>
      <c r="B432">
        <v>161</v>
      </c>
      <c r="C432" t="s">
        <v>1093</v>
      </c>
      <c r="D432" t="s">
        <v>1094</v>
      </c>
      <c r="E432" t="s">
        <v>90</v>
      </c>
      <c r="F432" t="s">
        <v>1095</v>
      </c>
      <c r="G432" t="str">
        <f>"00496756"</f>
        <v>00496756</v>
      </c>
      <c r="H432">
        <v>14.4</v>
      </c>
      <c r="I432">
        <v>0</v>
      </c>
      <c r="M432">
        <v>0</v>
      </c>
      <c r="N432">
        <v>0</v>
      </c>
      <c r="O432">
        <v>0</v>
      </c>
      <c r="P432">
        <v>14.4</v>
      </c>
      <c r="Q432">
        <v>87</v>
      </c>
      <c r="R432">
        <v>87</v>
      </c>
      <c r="S432">
        <v>3</v>
      </c>
      <c r="T432">
        <v>0</v>
      </c>
      <c r="U432" s="1">
        <v>0</v>
      </c>
      <c r="V432">
        <v>104.4</v>
      </c>
    </row>
    <row r="433" spans="1:22" ht="15">
      <c r="A433" s="4">
        <v>426</v>
      </c>
      <c r="B433">
        <v>798</v>
      </c>
      <c r="C433" t="s">
        <v>1096</v>
      </c>
      <c r="D433" t="s">
        <v>76</v>
      </c>
      <c r="E433" t="s">
        <v>344</v>
      </c>
      <c r="F433" t="s">
        <v>1097</v>
      </c>
      <c r="G433" t="str">
        <f>"00529861"</f>
        <v>00529861</v>
      </c>
      <c r="H433">
        <v>50.4</v>
      </c>
      <c r="I433">
        <v>0</v>
      </c>
      <c r="M433">
        <v>4</v>
      </c>
      <c r="N433">
        <v>0</v>
      </c>
      <c r="O433">
        <v>0</v>
      </c>
      <c r="P433">
        <v>54.4</v>
      </c>
      <c r="Q433">
        <v>50</v>
      </c>
      <c r="R433">
        <v>50</v>
      </c>
      <c r="S433">
        <v>0</v>
      </c>
      <c r="T433">
        <v>0</v>
      </c>
      <c r="U433" s="1">
        <v>0</v>
      </c>
      <c r="V433">
        <v>104.4</v>
      </c>
    </row>
    <row r="434" spans="1:22" ht="15">
      <c r="A434" s="4">
        <v>427</v>
      </c>
      <c r="B434">
        <v>2173</v>
      </c>
      <c r="C434" t="s">
        <v>1098</v>
      </c>
      <c r="D434" t="s">
        <v>89</v>
      </c>
      <c r="E434" t="s">
        <v>90</v>
      </c>
      <c r="F434" t="s">
        <v>1099</v>
      </c>
      <c r="G434" t="str">
        <f>"00499943"</f>
        <v>00499943</v>
      </c>
      <c r="H434">
        <v>43.2</v>
      </c>
      <c r="I434">
        <v>10</v>
      </c>
      <c r="L434">
        <v>4</v>
      </c>
      <c r="M434">
        <v>4</v>
      </c>
      <c r="N434">
        <v>4</v>
      </c>
      <c r="O434">
        <v>2</v>
      </c>
      <c r="P434">
        <v>63.2</v>
      </c>
      <c r="Q434">
        <v>41</v>
      </c>
      <c r="R434">
        <v>41</v>
      </c>
      <c r="S434">
        <v>0</v>
      </c>
      <c r="T434">
        <v>0</v>
      </c>
      <c r="U434" s="1">
        <v>0</v>
      </c>
      <c r="V434">
        <v>104.2</v>
      </c>
    </row>
    <row r="435" spans="1:22" ht="15">
      <c r="A435" s="4">
        <v>428</v>
      </c>
      <c r="B435">
        <v>1370</v>
      </c>
      <c r="C435" t="s">
        <v>193</v>
      </c>
      <c r="D435" t="s">
        <v>1100</v>
      </c>
      <c r="E435" t="s">
        <v>19</v>
      </c>
      <c r="F435" t="s">
        <v>1101</v>
      </c>
      <c r="G435" t="str">
        <f>"00441500"</f>
        <v>00441500</v>
      </c>
      <c r="H435">
        <v>36</v>
      </c>
      <c r="I435">
        <v>0</v>
      </c>
      <c r="L435">
        <v>4</v>
      </c>
      <c r="M435">
        <v>4</v>
      </c>
      <c r="N435">
        <v>4</v>
      </c>
      <c r="O435">
        <v>0</v>
      </c>
      <c r="P435">
        <v>44</v>
      </c>
      <c r="Q435">
        <v>60</v>
      </c>
      <c r="R435">
        <v>60</v>
      </c>
      <c r="S435">
        <v>0</v>
      </c>
      <c r="T435">
        <v>0</v>
      </c>
      <c r="U435" s="1">
        <v>0</v>
      </c>
      <c r="V435">
        <v>104</v>
      </c>
    </row>
    <row r="436" spans="1:22" ht="15">
      <c r="A436" s="4">
        <v>429</v>
      </c>
      <c r="B436">
        <v>820</v>
      </c>
      <c r="C436" t="s">
        <v>430</v>
      </c>
      <c r="D436" t="s">
        <v>1102</v>
      </c>
      <c r="E436" t="s">
        <v>712</v>
      </c>
      <c r="F436" t="s">
        <v>1103</v>
      </c>
      <c r="G436" t="str">
        <f>"00480409"</f>
        <v>00480409</v>
      </c>
      <c r="H436">
        <v>22.84</v>
      </c>
      <c r="I436">
        <v>10</v>
      </c>
      <c r="K436">
        <v>6</v>
      </c>
      <c r="L436">
        <v>4</v>
      </c>
      <c r="M436">
        <v>4</v>
      </c>
      <c r="N436">
        <v>10</v>
      </c>
      <c r="O436">
        <v>0</v>
      </c>
      <c r="P436">
        <v>46.84</v>
      </c>
      <c r="Q436">
        <v>54</v>
      </c>
      <c r="R436">
        <v>54</v>
      </c>
      <c r="S436">
        <v>3</v>
      </c>
      <c r="T436">
        <v>0</v>
      </c>
      <c r="U436" s="1">
        <v>0</v>
      </c>
      <c r="V436">
        <v>103.84</v>
      </c>
    </row>
    <row r="437" spans="1:22" ht="15">
      <c r="A437" s="4">
        <v>430</v>
      </c>
      <c r="B437">
        <v>1057</v>
      </c>
      <c r="C437" t="s">
        <v>1104</v>
      </c>
      <c r="D437" t="s">
        <v>643</v>
      </c>
      <c r="E437" t="s">
        <v>317</v>
      </c>
      <c r="F437" t="s">
        <v>1105</v>
      </c>
      <c r="G437" t="str">
        <f>"00511608"</f>
        <v>00511608</v>
      </c>
      <c r="H437">
        <v>14.4</v>
      </c>
      <c r="I437">
        <v>0</v>
      </c>
      <c r="L437">
        <v>4</v>
      </c>
      <c r="M437">
        <v>0</v>
      </c>
      <c r="N437">
        <v>4</v>
      </c>
      <c r="O437">
        <v>0</v>
      </c>
      <c r="P437">
        <v>18.4</v>
      </c>
      <c r="Q437">
        <v>85</v>
      </c>
      <c r="R437">
        <v>85</v>
      </c>
      <c r="S437">
        <v>0</v>
      </c>
      <c r="T437">
        <v>0</v>
      </c>
      <c r="U437" s="1">
        <v>0</v>
      </c>
      <c r="V437">
        <v>103.4</v>
      </c>
    </row>
    <row r="438" spans="1:22" ht="15">
      <c r="A438" s="4">
        <v>431</v>
      </c>
      <c r="B438">
        <v>6</v>
      </c>
      <c r="C438" t="s">
        <v>1106</v>
      </c>
      <c r="D438" t="s">
        <v>29</v>
      </c>
      <c r="E438" t="s">
        <v>1107</v>
      </c>
      <c r="F438" t="s">
        <v>1108</v>
      </c>
      <c r="G438" t="str">
        <f>"00401396"</f>
        <v>00401396</v>
      </c>
      <c r="H438">
        <v>50.4</v>
      </c>
      <c r="I438">
        <v>0</v>
      </c>
      <c r="L438">
        <v>4</v>
      </c>
      <c r="M438">
        <v>4</v>
      </c>
      <c r="N438">
        <v>4</v>
      </c>
      <c r="O438">
        <v>0</v>
      </c>
      <c r="P438">
        <v>58.4</v>
      </c>
      <c r="Q438">
        <v>0</v>
      </c>
      <c r="R438">
        <v>0</v>
      </c>
      <c r="S438">
        <v>15</v>
      </c>
      <c r="T438">
        <v>30</v>
      </c>
      <c r="U438" s="1">
        <v>0</v>
      </c>
      <c r="V438">
        <v>103.4</v>
      </c>
    </row>
    <row r="439" spans="1:22" ht="15">
      <c r="A439" s="4">
        <v>432</v>
      </c>
      <c r="B439">
        <v>1148</v>
      </c>
      <c r="C439" t="s">
        <v>1109</v>
      </c>
      <c r="D439" t="s">
        <v>643</v>
      </c>
      <c r="E439" t="s">
        <v>30</v>
      </c>
      <c r="F439" t="s">
        <v>1110</v>
      </c>
      <c r="G439" t="str">
        <f>"00153639"</f>
        <v>00153639</v>
      </c>
      <c r="H439">
        <v>50.4</v>
      </c>
      <c r="I439">
        <v>10</v>
      </c>
      <c r="L439">
        <v>4</v>
      </c>
      <c r="M439">
        <v>4</v>
      </c>
      <c r="N439">
        <v>4</v>
      </c>
      <c r="O439">
        <v>0</v>
      </c>
      <c r="P439">
        <v>68.4</v>
      </c>
      <c r="Q439">
        <v>35</v>
      </c>
      <c r="R439">
        <v>35</v>
      </c>
      <c r="S439">
        <v>0</v>
      </c>
      <c r="T439">
        <v>0</v>
      </c>
      <c r="U439" s="1">
        <v>0</v>
      </c>
      <c r="V439">
        <v>103.4</v>
      </c>
    </row>
    <row r="440" spans="1:22" ht="15">
      <c r="A440" s="4">
        <v>433</v>
      </c>
      <c r="B440">
        <v>354</v>
      </c>
      <c r="C440" t="s">
        <v>1111</v>
      </c>
      <c r="D440" t="s">
        <v>1112</v>
      </c>
      <c r="E440" t="s">
        <v>59</v>
      </c>
      <c r="F440" t="s">
        <v>1113</v>
      </c>
      <c r="G440" t="str">
        <f>"00529747"</f>
        <v>00529747</v>
      </c>
      <c r="H440">
        <v>50.4</v>
      </c>
      <c r="I440">
        <v>10</v>
      </c>
      <c r="M440">
        <v>4</v>
      </c>
      <c r="N440">
        <v>0</v>
      </c>
      <c r="O440">
        <v>2</v>
      </c>
      <c r="P440">
        <v>66.4</v>
      </c>
      <c r="Q440">
        <v>34</v>
      </c>
      <c r="R440">
        <v>34</v>
      </c>
      <c r="S440">
        <v>3</v>
      </c>
      <c r="T440">
        <v>0</v>
      </c>
      <c r="U440" s="1">
        <v>0</v>
      </c>
      <c r="V440">
        <v>103.4</v>
      </c>
    </row>
    <row r="441" spans="1:22" ht="15">
      <c r="A441" s="4">
        <v>434</v>
      </c>
      <c r="B441">
        <v>1277</v>
      </c>
      <c r="C441" t="s">
        <v>1114</v>
      </c>
      <c r="D441" t="s">
        <v>640</v>
      </c>
      <c r="E441" t="s">
        <v>197</v>
      </c>
      <c r="F441" t="s">
        <v>1115</v>
      </c>
      <c r="G441" t="str">
        <f>"00531576"</f>
        <v>00531576</v>
      </c>
      <c r="H441">
        <v>43.2</v>
      </c>
      <c r="I441">
        <v>0</v>
      </c>
      <c r="M441">
        <v>0</v>
      </c>
      <c r="N441">
        <v>0</v>
      </c>
      <c r="O441">
        <v>0</v>
      </c>
      <c r="P441">
        <v>43.2</v>
      </c>
      <c r="Q441">
        <v>60</v>
      </c>
      <c r="R441">
        <v>60</v>
      </c>
      <c r="S441">
        <v>0</v>
      </c>
      <c r="T441">
        <v>0</v>
      </c>
      <c r="U441" s="1">
        <v>0</v>
      </c>
      <c r="V441">
        <v>103.2</v>
      </c>
    </row>
    <row r="442" spans="1:22" ht="15">
      <c r="A442" s="4">
        <v>435</v>
      </c>
      <c r="B442">
        <v>2787</v>
      </c>
      <c r="C442" t="s">
        <v>1116</v>
      </c>
      <c r="D442" t="s">
        <v>1117</v>
      </c>
      <c r="E442" t="s">
        <v>112</v>
      </c>
      <c r="F442" t="s">
        <v>1118</v>
      </c>
      <c r="G442" t="str">
        <f>"200712004708"</f>
        <v>200712004708</v>
      </c>
      <c r="H442">
        <v>37.08</v>
      </c>
      <c r="I442">
        <v>10</v>
      </c>
      <c r="L442">
        <v>4</v>
      </c>
      <c r="M442">
        <v>4</v>
      </c>
      <c r="N442">
        <v>4</v>
      </c>
      <c r="O442">
        <v>0</v>
      </c>
      <c r="P442">
        <v>55.08</v>
      </c>
      <c r="Q442">
        <v>48</v>
      </c>
      <c r="R442">
        <v>48</v>
      </c>
      <c r="S442">
        <v>0</v>
      </c>
      <c r="T442">
        <v>0</v>
      </c>
      <c r="U442" s="1">
        <v>0</v>
      </c>
      <c r="V442">
        <v>103.08</v>
      </c>
    </row>
    <row r="443" spans="1:22" ht="15">
      <c r="A443" s="4">
        <v>436</v>
      </c>
      <c r="B443">
        <v>119</v>
      </c>
      <c r="C443" t="s">
        <v>1119</v>
      </c>
      <c r="D443" t="s">
        <v>130</v>
      </c>
      <c r="E443" t="s">
        <v>1120</v>
      </c>
      <c r="F443" t="s">
        <v>1121</v>
      </c>
      <c r="G443" t="str">
        <f>"200802004952"</f>
        <v>200802004952</v>
      </c>
      <c r="H443">
        <v>72</v>
      </c>
      <c r="I443">
        <v>10</v>
      </c>
      <c r="M443">
        <v>4</v>
      </c>
      <c r="N443">
        <v>0</v>
      </c>
      <c r="O443">
        <v>0</v>
      </c>
      <c r="P443">
        <v>86</v>
      </c>
      <c r="Q443">
        <v>8</v>
      </c>
      <c r="R443">
        <v>8</v>
      </c>
      <c r="S443">
        <v>9</v>
      </c>
      <c r="T443">
        <v>0</v>
      </c>
      <c r="U443" s="1">
        <v>0</v>
      </c>
      <c r="V443">
        <v>103</v>
      </c>
    </row>
    <row r="444" spans="1:22" ht="15">
      <c r="A444" s="4">
        <v>437</v>
      </c>
      <c r="B444">
        <v>771</v>
      </c>
      <c r="C444" t="s">
        <v>1122</v>
      </c>
      <c r="D444" t="s">
        <v>76</v>
      </c>
      <c r="E444" t="s">
        <v>23</v>
      </c>
      <c r="F444" t="s">
        <v>1123</v>
      </c>
      <c r="G444" t="str">
        <f>"00525078"</f>
        <v>00525078</v>
      </c>
      <c r="H444">
        <v>72</v>
      </c>
      <c r="I444">
        <v>0</v>
      </c>
      <c r="M444">
        <v>4</v>
      </c>
      <c r="N444">
        <v>0</v>
      </c>
      <c r="O444">
        <v>0</v>
      </c>
      <c r="P444">
        <v>76</v>
      </c>
      <c r="Q444">
        <v>27</v>
      </c>
      <c r="R444">
        <v>27</v>
      </c>
      <c r="S444">
        <v>0</v>
      </c>
      <c r="T444">
        <v>0</v>
      </c>
      <c r="U444" s="1">
        <v>0</v>
      </c>
      <c r="V444">
        <v>103</v>
      </c>
    </row>
    <row r="445" spans="1:22" ht="15">
      <c r="A445" s="4">
        <v>438</v>
      </c>
      <c r="B445">
        <v>3124</v>
      </c>
      <c r="C445" t="s">
        <v>915</v>
      </c>
      <c r="D445" t="s">
        <v>102</v>
      </c>
      <c r="E445" t="s">
        <v>447</v>
      </c>
      <c r="F445" t="s">
        <v>1124</v>
      </c>
      <c r="G445" t="str">
        <f>"00442176"</f>
        <v>00442176</v>
      </c>
      <c r="H445">
        <v>64.8</v>
      </c>
      <c r="I445">
        <v>10</v>
      </c>
      <c r="L445">
        <v>4</v>
      </c>
      <c r="M445">
        <v>4</v>
      </c>
      <c r="N445">
        <v>4</v>
      </c>
      <c r="O445">
        <v>0</v>
      </c>
      <c r="P445">
        <v>82.8</v>
      </c>
      <c r="Q445">
        <v>17</v>
      </c>
      <c r="R445">
        <v>17</v>
      </c>
      <c r="S445">
        <v>3</v>
      </c>
      <c r="T445">
        <v>0</v>
      </c>
      <c r="U445" s="1">
        <v>0</v>
      </c>
      <c r="V445">
        <v>102.8</v>
      </c>
    </row>
    <row r="446" spans="1:22" ht="15">
      <c r="A446" s="4">
        <v>439</v>
      </c>
      <c r="B446">
        <v>770</v>
      </c>
      <c r="C446" t="s">
        <v>1125</v>
      </c>
      <c r="D446" t="s">
        <v>89</v>
      </c>
      <c r="E446" t="s">
        <v>1126</v>
      </c>
      <c r="F446" t="s">
        <v>1127</v>
      </c>
      <c r="G446" t="str">
        <f>"00516321"</f>
        <v>00516321</v>
      </c>
      <c r="H446">
        <v>28.8</v>
      </c>
      <c r="I446">
        <v>0</v>
      </c>
      <c r="M446">
        <v>4</v>
      </c>
      <c r="N446">
        <v>0</v>
      </c>
      <c r="O446">
        <v>0</v>
      </c>
      <c r="P446">
        <v>32.8</v>
      </c>
      <c r="Q446">
        <v>70</v>
      </c>
      <c r="R446">
        <v>70</v>
      </c>
      <c r="S446">
        <v>0</v>
      </c>
      <c r="T446">
        <v>0</v>
      </c>
      <c r="U446" s="1">
        <v>0</v>
      </c>
      <c r="V446">
        <v>102.8</v>
      </c>
    </row>
    <row r="447" spans="1:22" ht="15">
      <c r="A447" s="4">
        <v>440</v>
      </c>
      <c r="B447">
        <v>2335</v>
      </c>
      <c r="C447" t="s">
        <v>1128</v>
      </c>
      <c r="D447" t="s">
        <v>280</v>
      </c>
      <c r="E447" t="s">
        <v>90</v>
      </c>
      <c r="F447" t="s">
        <v>1129</v>
      </c>
      <c r="G447" t="str">
        <f>"00513625"</f>
        <v>00513625</v>
      </c>
      <c r="H447">
        <v>64.8</v>
      </c>
      <c r="I447">
        <v>0</v>
      </c>
      <c r="L447">
        <v>4</v>
      </c>
      <c r="M447">
        <v>4</v>
      </c>
      <c r="N447">
        <v>4</v>
      </c>
      <c r="O447">
        <v>2</v>
      </c>
      <c r="P447">
        <v>74.8</v>
      </c>
      <c r="Q447">
        <v>25</v>
      </c>
      <c r="R447">
        <v>25</v>
      </c>
      <c r="S447">
        <v>3</v>
      </c>
      <c r="T447">
        <v>0</v>
      </c>
      <c r="U447" s="1">
        <v>0</v>
      </c>
      <c r="V447">
        <v>102.8</v>
      </c>
    </row>
    <row r="448" spans="1:22" ht="15">
      <c r="A448" s="4">
        <v>441</v>
      </c>
      <c r="B448">
        <v>1063</v>
      </c>
      <c r="C448" t="s">
        <v>967</v>
      </c>
      <c r="D448" t="s">
        <v>1130</v>
      </c>
      <c r="E448" t="s">
        <v>73</v>
      </c>
      <c r="F448" t="s">
        <v>1131</v>
      </c>
      <c r="G448" t="str">
        <f>"201511031404"</f>
        <v>201511031404</v>
      </c>
      <c r="H448">
        <v>57.6</v>
      </c>
      <c r="I448">
        <v>0</v>
      </c>
      <c r="J448">
        <v>8</v>
      </c>
      <c r="L448">
        <v>4</v>
      </c>
      <c r="M448">
        <v>4</v>
      </c>
      <c r="N448">
        <v>12</v>
      </c>
      <c r="O448">
        <v>2</v>
      </c>
      <c r="P448">
        <v>75.6</v>
      </c>
      <c r="Q448">
        <v>27</v>
      </c>
      <c r="R448">
        <v>27</v>
      </c>
      <c r="S448">
        <v>0</v>
      </c>
      <c r="T448">
        <v>0</v>
      </c>
      <c r="U448" s="1">
        <v>0</v>
      </c>
      <c r="V448">
        <v>102.6</v>
      </c>
    </row>
    <row r="449" spans="1:22" ht="15">
      <c r="A449" s="4">
        <v>442</v>
      </c>
      <c r="B449">
        <v>2103</v>
      </c>
      <c r="C449" t="s">
        <v>1132</v>
      </c>
      <c r="D449" t="s">
        <v>1133</v>
      </c>
      <c r="E449" t="s">
        <v>51</v>
      </c>
      <c r="F449" t="s">
        <v>1134</v>
      </c>
      <c r="G449" t="str">
        <f>"00503152"</f>
        <v>00503152</v>
      </c>
      <c r="H449">
        <v>31.56</v>
      </c>
      <c r="I449">
        <v>0</v>
      </c>
      <c r="M449">
        <v>4</v>
      </c>
      <c r="N449">
        <v>0</v>
      </c>
      <c r="O449">
        <v>0</v>
      </c>
      <c r="P449">
        <v>35.56</v>
      </c>
      <c r="Q449">
        <v>61</v>
      </c>
      <c r="R449">
        <v>61</v>
      </c>
      <c r="S449">
        <v>6</v>
      </c>
      <c r="T449">
        <v>0</v>
      </c>
      <c r="U449" s="1">
        <v>0</v>
      </c>
      <c r="V449">
        <v>102.56</v>
      </c>
    </row>
    <row r="450" spans="1:22" ht="15">
      <c r="A450" s="4">
        <v>443</v>
      </c>
      <c r="B450">
        <v>1786</v>
      </c>
      <c r="C450" t="s">
        <v>1135</v>
      </c>
      <c r="D450" t="s">
        <v>68</v>
      </c>
      <c r="E450" t="s">
        <v>364</v>
      </c>
      <c r="F450" t="s">
        <v>1136</v>
      </c>
      <c r="G450" t="str">
        <f>"00531373"</f>
        <v>00531373</v>
      </c>
      <c r="H450">
        <v>43.2</v>
      </c>
      <c r="I450">
        <v>0</v>
      </c>
      <c r="L450">
        <v>4</v>
      </c>
      <c r="M450">
        <v>4</v>
      </c>
      <c r="N450">
        <v>4</v>
      </c>
      <c r="O450">
        <v>2</v>
      </c>
      <c r="P450">
        <v>53.2</v>
      </c>
      <c r="Q450">
        <v>49</v>
      </c>
      <c r="R450">
        <v>49</v>
      </c>
      <c r="S450">
        <v>0</v>
      </c>
      <c r="T450">
        <v>0</v>
      </c>
      <c r="U450" s="1">
        <v>0</v>
      </c>
      <c r="V450">
        <v>102.2</v>
      </c>
    </row>
    <row r="451" spans="1:22" ht="15">
      <c r="A451" s="4">
        <v>444</v>
      </c>
      <c r="B451">
        <v>1324</v>
      </c>
      <c r="C451" t="s">
        <v>1137</v>
      </c>
      <c r="D451" t="s">
        <v>76</v>
      </c>
      <c r="E451" t="s">
        <v>1138</v>
      </c>
      <c r="F451" t="s">
        <v>1139</v>
      </c>
      <c r="G451" t="str">
        <f>"00504852"</f>
        <v>00504852</v>
      </c>
      <c r="H451">
        <v>43.2</v>
      </c>
      <c r="I451">
        <v>0</v>
      </c>
      <c r="L451">
        <v>4</v>
      </c>
      <c r="M451">
        <v>0</v>
      </c>
      <c r="N451">
        <v>4</v>
      </c>
      <c r="O451">
        <v>0</v>
      </c>
      <c r="P451">
        <v>47.2</v>
      </c>
      <c r="Q451">
        <v>49</v>
      </c>
      <c r="R451">
        <v>49</v>
      </c>
      <c r="S451">
        <v>6</v>
      </c>
      <c r="T451">
        <v>0</v>
      </c>
      <c r="U451" s="1">
        <v>0</v>
      </c>
      <c r="V451">
        <v>102.2</v>
      </c>
    </row>
    <row r="452" spans="1:22" ht="15">
      <c r="A452" s="4">
        <v>445</v>
      </c>
      <c r="B452">
        <v>1060</v>
      </c>
      <c r="C452" t="s">
        <v>1140</v>
      </c>
      <c r="D452" t="s">
        <v>259</v>
      </c>
      <c r="E452" t="s">
        <v>51</v>
      </c>
      <c r="F452" t="s">
        <v>1141</v>
      </c>
      <c r="G452" t="str">
        <f>"00441905"</f>
        <v>00441905</v>
      </c>
      <c r="H452">
        <v>43.2</v>
      </c>
      <c r="I452">
        <v>10</v>
      </c>
      <c r="M452">
        <v>4</v>
      </c>
      <c r="N452">
        <v>0</v>
      </c>
      <c r="O452">
        <v>2</v>
      </c>
      <c r="P452">
        <v>59.2</v>
      </c>
      <c r="Q452">
        <v>40</v>
      </c>
      <c r="R452">
        <v>40</v>
      </c>
      <c r="S452">
        <v>3</v>
      </c>
      <c r="T452">
        <v>0</v>
      </c>
      <c r="U452" s="1">
        <v>0</v>
      </c>
      <c r="V452">
        <v>102.2</v>
      </c>
    </row>
    <row r="453" spans="1:22" ht="15">
      <c r="A453" s="4">
        <v>446</v>
      </c>
      <c r="B453">
        <v>3332</v>
      </c>
      <c r="C453" t="s">
        <v>1142</v>
      </c>
      <c r="D453" t="s">
        <v>259</v>
      </c>
      <c r="E453" t="s">
        <v>1143</v>
      </c>
      <c r="F453" t="s">
        <v>1144</v>
      </c>
      <c r="G453" t="str">
        <f>"200911000237"</f>
        <v>200911000237</v>
      </c>
      <c r="H453">
        <v>28</v>
      </c>
      <c r="I453">
        <v>0</v>
      </c>
      <c r="M453">
        <v>4</v>
      </c>
      <c r="N453">
        <v>0</v>
      </c>
      <c r="O453">
        <v>0</v>
      </c>
      <c r="P453">
        <v>32</v>
      </c>
      <c r="Q453">
        <v>64</v>
      </c>
      <c r="R453">
        <v>64</v>
      </c>
      <c r="S453">
        <v>6</v>
      </c>
      <c r="T453">
        <v>0</v>
      </c>
      <c r="U453" s="1">
        <v>0</v>
      </c>
      <c r="V453">
        <v>102</v>
      </c>
    </row>
    <row r="454" spans="1:22" ht="15">
      <c r="A454" s="4">
        <v>447</v>
      </c>
      <c r="B454">
        <v>2068</v>
      </c>
      <c r="C454" t="s">
        <v>1145</v>
      </c>
      <c r="D454" t="s">
        <v>89</v>
      </c>
      <c r="E454" t="s">
        <v>23</v>
      </c>
      <c r="F454" t="s">
        <v>1146</v>
      </c>
      <c r="G454" t="str">
        <f>"00532553"</f>
        <v>00532553</v>
      </c>
      <c r="H454">
        <v>36</v>
      </c>
      <c r="I454">
        <v>0</v>
      </c>
      <c r="M454">
        <v>4</v>
      </c>
      <c r="N454">
        <v>0</v>
      </c>
      <c r="O454">
        <v>0</v>
      </c>
      <c r="P454">
        <v>40</v>
      </c>
      <c r="Q454">
        <v>62</v>
      </c>
      <c r="R454">
        <v>62</v>
      </c>
      <c r="S454">
        <v>0</v>
      </c>
      <c r="T454">
        <v>0</v>
      </c>
      <c r="U454" s="1">
        <v>0</v>
      </c>
      <c r="V454">
        <v>102</v>
      </c>
    </row>
    <row r="455" spans="1:22" ht="15">
      <c r="A455" s="4">
        <v>448</v>
      </c>
      <c r="B455">
        <v>1169</v>
      </c>
      <c r="C455" t="s">
        <v>1147</v>
      </c>
      <c r="D455" t="s">
        <v>1148</v>
      </c>
      <c r="E455" t="s">
        <v>112</v>
      </c>
      <c r="F455" t="s">
        <v>1149</v>
      </c>
      <c r="G455" t="str">
        <f>"00099256"</f>
        <v>00099256</v>
      </c>
      <c r="H455">
        <v>36</v>
      </c>
      <c r="I455">
        <v>10</v>
      </c>
      <c r="J455">
        <v>8</v>
      </c>
      <c r="K455">
        <v>6</v>
      </c>
      <c r="M455">
        <v>4</v>
      </c>
      <c r="N455">
        <v>14</v>
      </c>
      <c r="O455">
        <v>2</v>
      </c>
      <c r="P455">
        <v>66</v>
      </c>
      <c r="Q455">
        <v>36</v>
      </c>
      <c r="R455">
        <v>36</v>
      </c>
      <c r="S455">
        <v>0</v>
      </c>
      <c r="T455">
        <v>0</v>
      </c>
      <c r="U455" s="1">
        <v>0</v>
      </c>
      <c r="V455">
        <v>102</v>
      </c>
    </row>
    <row r="456" spans="1:22" ht="15">
      <c r="A456" s="4">
        <v>449</v>
      </c>
      <c r="B456">
        <v>2017</v>
      </c>
      <c r="C456" t="s">
        <v>1150</v>
      </c>
      <c r="D456" t="s">
        <v>523</v>
      </c>
      <c r="E456" t="s">
        <v>30</v>
      </c>
      <c r="F456" t="s">
        <v>1151</v>
      </c>
      <c r="G456" t="str">
        <f>"201511021760"</f>
        <v>201511021760</v>
      </c>
      <c r="H456">
        <v>24.8</v>
      </c>
      <c r="I456">
        <v>10</v>
      </c>
      <c r="L456">
        <v>4</v>
      </c>
      <c r="M456">
        <v>4</v>
      </c>
      <c r="N456">
        <v>4</v>
      </c>
      <c r="O456">
        <v>2</v>
      </c>
      <c r="P456">
        <v>44.8</v>
      </c>
      <c r="Q456">
        <v>57</v>
      </c>
      <c r="R456">
        <v>57</v>
      </c>
      <c r="S456">
        <v>0</v>
      </c>
      <c r="T456">
        <v>0</v>
      </c>
      <c r="U456" s="1">
        <v>0</v>
      </c>
      <c r="V456">
        <v>101.8</v>
      </c>
    </row>
    <row r="457" spans="1:22" ht="15">
      <c r="A457" s="4">
        <v>450</v>
      </c>
      <c r="B457">
        <v>556</v>
      </c>
      <c r="C457" t="s">
        <v>1152</v>
      </c>
      <c r="D457" t="s">
        <v>1153</v>
      </c>
      <c r="E457" t="s">
        <v>90</v>
      </c>
      <c r="F457" t="s">
        <v>1154</v>
      </c>
      <c r="G457" t="str">
        <f>"201502001914"</f>
        <v>201502001914</v>
      </c>
      <c r="H457">
        <v>64.8</v>
      </c>
      <c r="I457">
        <v>0</v>
      </c>
      <c r="J457">
        <v>8</v>
      </c>
      <c r="M457">
        <v>4</v>
      </c>
      <c r="N457">
        <v>8</v>
      </c>
      <c r="O457">
        <v>0</v>
      </c>
      <c r="P457">
        <v>76.8</v>
      </c>
      <c r="Q457">
        <v>25</v>
      </c>
      <c r="R457">
        <v>25</v>
      </c>
      <c r="S457">
        <v>0</v>
      </c>
      <c r="T457">
        <v>0</v>
      </c>
      <c r="U457" s="1">
        <v>0</v>
      </c>
      <c r="V457">
        <v>101.8</v>
      </c>
    </row>
    <row r="458" spans="1:22" ht="15">
      <c r="A458" s="4">
        <v>451</v>
      </c>
      <c r="B458">
        <v>1559</v>
      </c>
      <c r="C458" t="s">
        <v>1155</v>
      </c>
      <c r="D458" t="s">
        <v>121</v>
      </c>
      <c r="E458" t="s">
        <v>30</v>
      </c>
      <c r="F458" t="s">
        <v>1156</v>
      </c>
      <c r="G458" t="str">
        <f>"00518762"</f>
        <v>00518762</v>
      </c>
      <c r="H458">
        <v>28.8</v>
      </c>
      <c r="I458">
        <v>0</v>
      </c>
      <c r="M458">
        <v>4</v>
      </c>
      <c r="N458">
        <v>0</v>
      </c>
      <c r="O458">
        <v>0</v>
      </c>
      <c r="P458">
        <v>32.8</v>
      </c>
      <c r="Q458">
        <v>66</v>
      </c>
      <c r="R458">
        <v>66</v>
      </c>
      <c r="S458">
        <v>3</v>
      </c>
      <c r="T458">
        <v>0</v>
      </c>
      <c r="U458" s="1">
        <v>0</v>
      </c>
      <c r="V458">
        <v>101.8</v>
      </c>
    </row>
    <row r="459" spans="1:22" ht="15">
      <c r="A459" s="4">
        <v>452</v>
      </c>
      <c r="B459">
        <v>2326</v>
      </c>
      <c r="C459" t="s">
        <v>1157</v>
      </c>
      <c r="D459" t="s">
        <v>839</v>
      </c>
      <c r="E459" t="s">
        <v>51</v>
      </c>
      <c r="F459" t="s">
        <v>1158</v>
      </c>
      <c r="G459" t="str">
        <f>"00507598"</f>
        <v>00507598</v>
      </c>
      <c r="H459">
        <v>57.6</v>
      </c>
      <c r="I459">
        <v>10</v>
      </c>
      <c r="L459">
        <v>4</v>
      </c>
      <c r="M459">
        <v>4</v>
      </c>
      <c r="N459">
        <v>4</v>
      </c>
      <c r="O459">
        <v>0</v>
      </c>
      <c r="P459">
        <v>75.6</v>
      </c>
      <c r="Q459">
        <v>26</v>
      </c>
      <c r="R459">
        <v>26</v>
      </c>
      <c r="S459">
        <v>0</v>
      </c>
      <c r="T459">
        <v>0</v>
      </c>
      <c r="U459" s="1">
        <v>0</v>
      </c>
      <c r="V459">
        <v>101.6</v>
      </c>
    </row>
    <row r="460" spans="1:22" ht="15">
      <c r="A460" s="4">
        <v>453</v>
      </c>
      <c r="B460">
        <v>1500</v>
      </c>
      <c r="C460" t="s">
        <v>1159</v>
      </c>
      <c r="D460" t="s">
        <v>1160</v>
      </c>
      <c r="E460" t="s">
        <v>499</v>
      </c>
      <c r="F460" t="s">
        <v>1161</v>
      </c>
      <c r="G460" t="str">
        <f>"00498894"</f>
        <v>00498894</v>
      </c>
      <c r="H460">
        <v>57.6</v>
      </c>
      <c r="I460">
        <v>10</v>
      </c>
      <c r="L460">
        <v>4</v>
      </c>
      <c r="M460">
        <v>4</v>
      </c>
      <c r="N460">
        <v>4</v>
      </c>
      <c r="O460">
        <v>0</v>
      </c>
      <c r="P460">
        <v>75.6</v>
      </c>
      <c r="Q460">
        <v>26</v>
      </c>
      <c r="R460">
        <v>26</v>
      </c>
      <c r="S460">
        <v>0</v>
      </c>
      <c r="T460">
        <v>0</v>
      </c>
      <c r="U460" s="1">
        <v>0</v>
      </c>
      <c r="V460">
        <v>101.6</v>
      </c>
    </row>
    <row r="461" spans="1:22" ht="15">
      <c r="A461" s="4">
        <v>454</v>
      </c>
      <c r="B461">
        <v>1234</v>
      </c>
      <c r="C461" t="s">
        <v>1162</v>
      </c>
      <c r="D461" t="s">
        <v>502</v>
      </c>
      <c r="E461" t="s">
        <v>1163</v>
      </c>
      <c r="F461" t="s">
        <v>1164</v>
      </c>
      <c r="G461" t="str">
        <f>"00497613"</f>
        <v>00497613</v>
      </c>
      <c r="H461">
        <v>37.44</v>
      </c>
      <c r="I461">
        <v>0</v>
      </c>
      <c r="M461">
        <v>4</v>
      </c>
      <c r="N461">
        <v>0</v>
      </c>
      <c r="O461">
        <v>0</v>
      </c>
      <c r="P461">
        <v>41.44</v>
      </c>
      <c r="Q461">
        <v>60</v>
      </c>
      <c r="R461">
        <v>60</v>
      </c>
      <c r="S461">
        <v>0</v>
      </c>
      <c r="T461">
        <v>0</v>
      </c>
      <c r="U461" s="1" t="s">
        <v>6251</v>
      </c>
      <c r="V461">
        <v>101.44</v>
      </c>
    </row>
    <row r="462" spans="1:22" ht="15">
      <c r="A462" s="4">
        <v>455</v>
      </c>
      <c r="B462">
        <v>1659</v>
      </c>
      <c r="C462" t="s">
        <v>1165</v>
      </c>
      <c r="D462" t="s">
        <v>89</v>
      </c>
      <c r="E462" t="s">
        <v>1166</v>
      </c>
      <c r="F462" t="s">
        <v>1167</v>
      </c>
      <c r="G462" t="str">
        <f>"00531393"</f>
        <v>00531393</v>
      </c>
      <c r="H462">
        <v>14.4</v>
      </c>
      <c r="I462">
        <v>0</v>
      </c>
      <c r="M462">
        <v>4</v>
      </c>
      <c r="N462">
        <v>0</v>
      </c>
      <c r="O462">
        <v>0</v>
      </c>
      <c r="P462">
        <v>18.4</v>
      </c>
      <c r="Q462">
        <v>80</v>
      </c>
      <c r="R462">
        <v>80</v>
      </c>
      <c r="S462">
        <v>3</v>
      </c>
      <c r="T462">
        <v>0</v>
      </c>
      <c r="U462" s="1">
        <v>0</v>
      </c>
      <c r="V462">
        <v>101.4</v>
      </c>
    </row>
    <row r="463" spans="1:22" ht="15">
      <c r="A463" s="4">
        <v>456</v>
      </c>
      <c r="B463">
        <v>261</v>
      </c>
      <c r="C463" t="s">
        <v>1168</v>
      </c>
      <c r="D463" t="s">
        <v>102</v>
      </c>
      <c r="E463" t="s">
        <v>295</v>
      </c>
      <c r="F463" t="s">
        <v>1169</v>
      </c>
      <c r="G463" t="str">
        <f>"00475394"</f>
        <v>00475394</v>
      </c>
      <c r="H463">
        <v>50.4</v>
      </c>
      <c r="I463">
        <v>0</v>
      </c>
      <c r="L463">
        <v>4</v>
      </c>
      <c r="M463">
        <v>4</v>
      </c>
      <c r="N463">
        <v>4</v>
      </c>
      <c r="O463">
        <v>0</v>
      </c>
      <c r="P463">
        <v>58.4</v>
      </c>
      <c r="Q463">
        <v>43</v>
      </c>
      <c r="R463">
        <v>43</v>
      </c>
      <c r="S463">
        <v>0</v>
      </c>
      <c r="T463">
        <v>0</v>
      </c>
      <c r="U463" s="1">
        <v>0</v>
      </c>
      <c r="V463">
        <v>101.4</v>
      </c>
    </row>
    <row r="464" spans="1:22" ht="15">
      <c r="A464" s="4">
        <v>457</v>
      </c>
      <c r="B464">
        <v>3278</v>
      </c>
      <c r="C464" t="s">
        <v>1170</v>
      </c>
      <c r="D464" t="s">
        <v>14</v>
      </c>
      <c r="E464" t="s">
        <v>19</v>
      </c>
      <c r="F464" t="s">
        <v>1171</v>
      </c>
      <c r="G464" t="str">
        <f>"00152427"</f>
        <v>00152427</v>
      </c>
      <c r="H464">
        <v>7.2</v>
      </c>
      <c r="I464">
        <v>0</v>
      </c>
      <c r="L464">
        <v>4</v>
      </c>
      <c r="M464">
        <v>4</v>
      </c>
      <c r="N464">
        <v>4</v>
      </c>
      <c r="O464">
        <v>0</v>
      </c>
      <c r="P464">
        <v>15.2</v>
      </c>
      <c r="Q464">
        <v>86</v>
      </c>
      <c r="R464">
        <v>86</v>
      </c>
      <c r="S464">
        <v>0</v>
      </c>
      <c r="T464">
        <v>0</v>
      </c>
      <c r="U464" s="1">
        <v>0</v>
      </c>
      <c r="V464">
        <v>101.2</v>
      </c>
    </row>
    <row r="465" spans="1:22" ht="15">
      <c r="A465" s="4">
        <v>458</v>
      </c>
      <c r="B465">
        <v>601</v>
      </c>
      <c r="C465" t="s">
        <v>1172</v>
      </c>
      <c r="D465" t="s">
        <v>72</v>
      </c>
      <c r="E465" t="s">
        <v>514</v>
      </c>
      <c r="F465" t="s">
        <v>1173</v>
      </c>
      <c r="G465" t="str">
        <f>"201409003284"</f>
        <v>201409003284</v>
      </c>
      <c r="H465">
        <v>37.08</v>
      </c>
      <c r="I465">
        <v>0</v>
      </c>
      <c r="M465">
        <v>4</v>
      </c>
      <c r="N465">
        <v>0</v>
      </c>
      <c r="O465">
        <v>0</v>
      </c>
      <c r="P465">
        <v>41.08</v>
      </c>
      <c r="Q465">
        <v>54</v>
      </c>
      <c r="R465">
        <v>54</v>
      </c>
      <c r="S465">
        <v>6</v>
      </c>
      <c r="T465">
        <v>0</v>
      </c>
      <c r="U465" s="1">
        <v>0</v>
      </c>
      <c r="V465">
        <v>101.08</v>
      </c>
    </row>
    <row r="466" spans="1:22" ht="15">
      <c r="A466" s="4">
        <v>459</v>
      </c>
      <c r="B466">
        <v>3312</v>
      </c>
      <c r="C466" t="s">
        <v>1174</v>
      </c>
      <c r="D466" t="s">
        <v>156</v>
      </c>
      <c r="E466" t="s">
        <v>11</v>
      </c>
      <c r="F466" t="s">
        <v>1175</v>
      </c>
      <c r="G466" t="str">
        <f>"00507178"</f>
        <v>00507178</v>
      </c>
      <c r="H466">
        <v>36</v>
      </c>
      <c r="I466">
        <v>0</v>
      </c>
      <c r="M466">
        <v>0</v>
      </c>
      <c r="N466">
        <v>0</v>
      </c>
      <c r="O466">
        <v>0</v>
      </c>
      <c r="P466">
        <v>36</v>
      </c>
      <c r="Q466">
        <v>59</v>
      </c>
      <c r="R466">
        <v>59</v>
      </c>
      <c r="S466">
        <v>6</v>
      </c>
      <c r="T466">
        <v>0</v>
      </c>
      <c r="U466" s="1">
        <v>0</v>
      </c>
      <c r="V466">
        <v>101</v>
      </c>
    </row>
    <row r="467" spans="1:22" ht="15">
      <c r="A467" s="4">
        <v>460</v>
      </c>
      <c r="B467">
        <v>624</v>
      </c>
      <c r="C467" t="s">
        <v>1176</v>
      </c>
      <c r="D467" t="s">
        <v>93</v>
      </c>
      <c r="E467" t="s">
        <v>90</v>
      </c>
      <c r="F467" t="s">
        <v>1177</v>
      </c>
      <c r="G467" t="str">
        <f>"00158417"</f>
        <v>00158417</v>
      </c>
      <c r="H467">
        <v>72</v>
      </c>
      <c r="I467">
        <v>10</v>
      </c>
      <c r="L467">
        <v>4</v>
      </c>
      <c r="M467">
        <v>4</v>
      </c>
      <c r="N467">
        <v>4</v>
      </c>
      <c r="O467">
        <v>0</v>
      </c>
      <c r="P467">
        <v>90</v>
      </c>
      <c r="Q467">
        <v>8</v>
      </c>
      <c r="R467">
        <v>8</v>
      </c>
      <c r="S467">
        <v>3</v>
      </c>
      <c r="T467">
        <v>0</v>
      </c>
      <c r="U467" s="1">
        <v>0</v>
      </c>
      <c r="V467">
        <v>101</v>
      </c>
    </row>
    <row r="468" spans="1:22" ht="15">
      <c r="A468" s="4">
        <v>461</v>
      </c>
      <c r="B468">
        <v>3089</v>
      </c>
      <c r="C468" t="s">
        <v>1178</v>
      </c>
      <c r="D468" t="s">
        <v>1179</v>
      </c>
      <c r="E468" t="s">
        <v>1180</v>
      </c>
      <c r="F468" t="s">
        <v>1181</v>
      </c>
      <c r="G468" t="str">
        <f>"00509388"</f>
        <v>00509388</v>
      </c>
      <c r="H468">
        <v>64.8</v>
      </c>
      <c r="I468">
        <v>0</v>
      </c>
      <c r="L468">
        <v>4</v>
      </c>
      <c r="M468">
        <v>4</v>
      </c>
      <c r="N468">
        <v>4</v>
      </c>
      <c r="O468">
        <v>2</v>
      </c>
      <c r="P468">
        <v>74.8</v>
      </c>
      <c r="Q468">
        <v>26</v>
      </c>
      <c r="R468">
        <v>26</v>
      </c>
      <c r="S468">
        <v>0</v>
      </c>
      <c r="T468">
        <v>0</v>
      </c>
      <c r="U468" s="1" t="s">
        <v>6251</v>
      </c>
      <c r="V468">
        <v>100.8</v>
      </c>
    </row>
    <row r="469" spans="1:22" ht="15">
      <c r="A469" s="4">
        <v>462</v>
      </c>
      <c r="B469">
        <v>2235</v>
      </c>
      <c r="C469" t="s">
        <v>1182</v>
      </c>
      <c r="D469" t="s">
        <v>232</v>
      </c>
      <c r="E469" t="s">
        <v>73</v>
      </c>
      <c r="F469" t="s">
        <v>1183</v>
      </c>
      <c r="G469" t="str">
        <f>"00500407"</f>
        <v>00500407</v>
      </c>
      <c r="H469">
        <v>57.6</v>
      </c>
      <c r="I469">
        <v>0</v>
      </c>
      <c r="K469">
        <v>6</v>
      </c>
      <c r="M469">
        <v>4</v>
      </c>
      <c r="N469">
        <v>6</v>
      </c>
      <c r="O469">
        <v>0</v>
      </c>
      <c r="P469">
        <v>67.6</v>
      </c>
      <c r="Q469">
        <v>33</v>
      </c>
      <c r="R469">
        <v>33</v>
      </c>
      <c r="S469">
        <v>0</v>
      </c>
      <c r="T469">
        <v>0</v>
      </c>
      <c r="U469" s="1">
        <v>0</v>
      </c>
      <c r="V469">
        <v>100.6</v>
      </c>
    </row>
    <row r="470" spans="1:22" ht="15">
      <c r="A470" s="4">
        <v>463</v>
      </c>
      <c r="B470">
        <v>1772</v>
      </c>
      <c r="C470" t="s">
        <v>1184</v>
      </c>
      <c r="D470" t="s">
        <v>179</v>
      </c>
      <c r="E470" t="s">
        <v>403</v>
      </c>
      <c r="F470" t="s">
        <v>1185</v>
      </c>
      <c r="G470" t="str">
        <f>"00148570"</f>
        <v>00148570</v>
      </c>
      <c r="H470">
        <v>14.4</v>
      </c>
      <c r="I470">
        <v>0</v>
      </c>
      <c r="M470">
        <v>4</v>
      </c>
      <c r="N470">
        <v>0</v>
      </c>
      <c r="O470">
        <v>0</v>
      </c>
      <c r="P470">
        <v>18.4</v>
      </c>
      <c r="Q470">
        <v>76</v>
      </c>
      <c r="R470">
        <v>76</v>
      </c>
      <c r="S470">
        <v>6</v>
      </c>
      <c r="T470">
        <v>0</v>
      </c>
      <c r="U470" s="1">
        <v>0</v>
      </c>
      <c r="V470">
        <v>100.4</v>
      </c>
    </row>
    <row r="471" spans="1:22" ht="15">
      <c r="A471" s="4">
        <v>464</v>
      </c>
      <c r="B471">
        <v>58</v>
      </c>
      <c r="C471" t="s">
        <v>1186</v>
      </c>
      <c r="D471" t="s">
        <v>76</v>
      </c>
      <c r="E471" t="s">
        <v>90</v>
      </c>
      <c r="F471" t="s">
        <v>1187</v>
      </c>
      <c r="G471" t="str">
        <f>"00504701"</f>
        <v>00504701</v>
      </c>
      <c r="H471">
        <v>43.2</v>
      </c>
      <c r="I471">
        <v>0</v>
      </c>
      <c r="L471">
        <v>4</v>
      </c>
      <c r="M471">
        <v>4</v>
      </c>
      <c r="N471">
        <v>4</v>
      </c>
      <c r="O471">
        <v>2</v>
      </c>
      <c r="P471">
        <v>53.2</v>
      </c>
      <c r="Q471">
        <v>41</v>
      </c>
      <c r="R471">
        <v>41</v>
      </c>
      <c r="S471">
        <v>6</v>
      </c>
      <c r="T471">
        <v>0</v>
      </c>
      <c r="U471" s="1">
        <v>0</v>
      </c>
      <c r="V471">
        <v>100.2</v>
      </c>
    </row>
    <row r="472" spans="1:22" ht="15">
      <c r="A472" s="4">
        <v>465</v>
      </c>
      <c r="B472">
        <v>283</v>
      </c>
      <c r="C472" t="s">
        <v>1188</v>
      </c>
      <c r="D472" t="s">
        <v>121</v>
      </c>
      <c r="E472" t="s">
        <v>11</v>
      </c>
      <c r="F472" t="s">
        <v>1189</v>
      </c>
      <c r="G472" t="str">
        <f>"00493087"</f>
        <v>00493087</v>
      </c>
      <c r="H472">
        <v>36</v>
      </c>
      <c r="I472">
        <v>0</v>
      </c>
      <c r="M472">
        <v>4</v>
      </c>
      <c r="N472">
        <v>0</v>
      </c>
      <c r="O472">
        <v>0</v>
      </c>
      <c r="P472">
        <v>40</v>
      </c>
      <c r="Q472">
        <v>54</v>
      </c>
      <c r="R472">
        <v>54</v>
      </c>
      <c r="S472">
        <v>6</v>
      </c>
      <c r="T472">
        <v>0</v>
      </c>
      <c r="U472" s="1">
        <v>0</v>
      </c>
      <c r="V472">
        <v>100</v>
      </c>
    </row>
    <row r="473" spans="1:22" ht="15">
      <c r="A473" s="4">
        <v>466</v>
      </c>
      <c r="B473">
        <v>1684</v>
      </c>
      <c r="C473" t="s">
        <v>1190</v>
      </c>
      <c r="D473" t="s">
        <v>643</v>
      </c>
      <c r="E473" t="s">
        <v>644</v>
      </c>
      <c r="F473" t="s">
        <v>1191</v>
      </c>
      <c r="G473" t="str">
        <f>"00508919"</f>
        <v>00508919</v>
      </c>
      <c r="H473">
        <v>72</v>
      </c>
      <c r="I473">
        <v>10</v>
      </c>
      <c r="M473">
        <v>4</v>
      </c>
      <c r="N473">
        <v>0</v>
      </c>
      <c r="O473">
        <v>0</v>
      </c>
      <c r="P473">
        <v>86</v>
      </c>
      <c r="Q473">
        <v>8</v>
      </c>
      <c r="R473">
        <v>8</v>
      </c>
      <c r="S473">
        <v>6</v>
      </c>
      <c r="T473">
        <v>0</v>
      </c>
      <c r="U473" s="1">
        <v>0</v>
      </c>
      <c r="V473">
        <v>100</v>
      </c>
    </row>
    <row r="474" spans="1:22" ht="15">
      <c r="A474" s="4">
        <v>467</v>
      </c>
      <c r="B474">
        <v>231</v>
      </c>
      <c r="C474" t="s">
        <v>1192</v>
      </c>
      <c r="D474" t="s">
        <v>121</v>
      </c>
      <c r="E474" t="s">
        <v>1193</v>
      </c>
      <c r="F474" t="s">
        <v>1194</v>
      </c>
      <c r="G474" t="str">
        <f>"20160705524"</f>
        <v>20160705524</v>
      </c>
      <c r="H474">
        <v>32.88</v>
      </c>
      <c r="I474">
        <v>0</v>
      </c>
      <c r="L474">
        <v>4</v>
      </c>
      <c r="M474">
        <v>4</v>
      </c>
      <c r="N474">
        <v>4</v>
      </c>
      <c r="O474">
        <v>0</v>
      </c>
      <c r="P474">
        <v>40.88</v>
      </c>
      <c r="Q474">
        <v>26</v>
      </c>
      <c r="R474">
        <v>26</v>
      </c>
      <c r="S474">
        <v>6</v>
      </c>
      <c r="T474">
        <v>26.8</v>
      </c>
      <c r="U474" s="1">
        <v>0</v>
      </c>
      <c r="V474">
        <v>99.68</v>
      </c>
    </row>
    <row r="475" spans="1:22" ht="15">
      <c r="A475" s="4">
        <v>468</v>
      </c>
      <c r="B475">
        <v>1108</v>
      </c>
      <c r="C475" t="s">
        <v>1195</v>
      </c>
      <c r="D475" t="s">
        <v>545</v>
      </c>
      <c r="E475" t="s">
        <v>1196</v>
      </c>
      <c r="F475" t="s">
        <v>1197</v>
      </c>
      <c r="G475" t="str">
        <f>"00529157"</f>
        <v>00529157</v>
      </c>
      <c r="H475">
        <v>21.6</v>
      </c>
      <c r="I475">
        <v>0</v>
      </c>
      <c r="L475">
        <v>4</v>
      </c>
      <c r="M475">
        <v>4</v>
      </c>
      <c r="N475">
        <v>4</v>
      </c>
      <c r="O475">
        <v>0</v>
      </c>
      <c r="P475">
        <v>29.6</v>
      </c>
      <c r="Q475">
        <v>64</v>
      </c>
      <c r="R475">
        <v>64</v>
      </c>
      <c r="S475">
        <v>6</v>
      </c>
      <c r="T475">
        <v>0</v>
      </c>
      <c r="U475" s="1">
        <v>0</v>
      </c>
      <c r="V475">
        <v>99.6</v>
      </c>
    </row>
    <row r="476" spans="1:22" ht="15">
      <c r="A476" s="4">
        <v>469</v>
      </c>
      <c r="B476">
        <v>3217</v>
      </c>
      <c r="C476" t="s">
        <v>1198</v>
      </c>
      <c r="D476" t="s">
        <v>1199</v>
      </c>
      <c r="E476" t="s">
        <v>51</v>
      </c>
      <c r="F476" t="s">
        <v>1200</v>
      </c>
      <c r="G476" t="str">
        <f>"00523079"</f>
        <v>00523079</v>
      </c>
      <c r="H476">
        <v>43.2</v>
      </c>
      <c r="I476">
        <v>0</v>
      </c>
      <c r="M476">
        <v>0</v>
      </c>
      <c r="N476">
        <v>0</v>
      </c>
      <c r="O476">
        <v>0</v>
      </c>
      <c r="P476">
        <v>43.2</v>
      </c>
      <c r="Q476">
        <v>53</v>
      </c>
      <c r="R476">
        <v>53</v>
      </c>
      <c r="S476">
        <v>3</v>
      </c>
      <c r="T476">
        <v>0</v>
      </c>
      <c r="U476" s="1">
        <v>0</v>
      </c>
      <c r="V476">
        <v>99.2</v>
      </c>
    </row>
    <row r="477" spans="1:22" ht="15">
      <c r="A477" s="4">
        <v>470</v>
      </c>
      <c r="B477">
        <v>1400</v>
      </c>
      <c r="C477" t="s">
        <v>1201</v>
      </c>
      <c r="D477" t="s">
        <v>1202</v>
      </c>
      <c r="E477" t="s">
        <v>41</v>
      </c>
      <c r="F477" t="s">
        <v>1203</v>
      </c>
      <c r="G477" t="str">
        <f>"00530163"</f>
        <v>00530163</v>
      </c>
      <c r="H477">
        <v>7.2</v>
      </c>
      <c r="I477">
        <v>0</v>
      </c>
      <c r="L477">
        <v>4</v>
      </c>
      <c r="M477">
        <v>4</v>
      </c>
      <c r="N477">
        <v>4</v>
      </c>
      <c r="O477">
        <v>0</v>
      </c>
      <c r="P477">
        <v>15.2</v>
      </c>
      <c r="Q477">
        <v>81</v>
      </c>
      <c r="R477">
        <v>81</v>
      </c>
      <c r="S477">
        <v>3</v>
      </c>
      <c r="T477">
        <v>0</v>
      </c>
      <c r="U477" s="1">
        <v>0</v>
      </c>
      <c r="V477">
        <v>99.2</v>
      </c>
    </row>
    <row r="478" spans="1:22" ht="15">
      <c r="A478" s="4">
        <v>471</v>
      </c>
      <c r="B478">
        <v>997</v>
      </c>
      <c r="C478" t="s">
        <v>1204</v>
      </c>
      <c r="D478" t="s">
        <v>1205</v>
      </c>
      <c r="E478" t="s">
        <v>19</v>
      </c>
      <c r="F478" t="s">
        <v>1206</v>
      </c>
      <c r="G478" t="str">
        <f>"00506591"</f>
        <v>00506591</v>
      </c>
      <c r="H478">
        <v>36</v>
      </c>
      <c r="I478">
        <v>10</v>
      </c>
      <c r="M478">
        <v>4</v>
      </c>
      <c r="N478">
        <v>0</v>
      </c>
      <c r="O478">
        <v>0</v>
      </c>
      <c r="P478">
        <v>50</v>
      </c>
      <c r="Q478">
        <v>49</v>
      </c>
      <c r="R478">
        <v>49</v>
      </c>
      <c r="S478">
        <v>0</v>
      </c>
      <c r="T478">
        <v>0</v>
      </c>
      <c r="U478" s="1">
        <v>0</v>
      </c>
      <c r="V478">
        <v>99</v>
      </c>
    </row>
    <row r="479" spans="1:22" ht="15">
      <c r="A479" s="4">
        <v>472</v>
      </c>
      <c r="B479">
        <v>733</v>
      </c>
      <c r="C479" t="s">
        <v>1207</v>
      </c>
      <c r="D479" t="s">
        <v>1208</v>
      </c>
      <c r="E479" t="s">
        <v>30</v>
      </c>
      <c r="F479" t="s">
        <v>1209</v>
      </c>
      <c r="G479" t="str">
        <f>"00513973"</f>
        <v>00513973</v>
      </c>
      <c r="H479">
        <v>36</v>
      </c>
      <c r="I479">
        <v>0</v>
      </c>
      <c r="L479">
        <v>4</v>
      </c>
      <c r="M479">
        <v>4</v>
      </c>
      <c r="N479">
        <v>4</v>
      </c>
      <c r="O479">
        <v>0</v>
      </c>
      <c r="P479">
        <v>44</v>
      </c>
      <c r="Q479">
        <v>49</v>
      </c>
      <c r="R479">
        <v>49</v>
      </c>
      <c r="S479">
        <v>6</v>
      </c>
      <c r="T479">
        <v>0</v>
      </c>
      <c r="U479" s="1">
        <v>0</v>
      </c>
      <c r="V479">
        <v>99</v>
      </c>
    </row>
    <row r="480" spans="1:22" ht="15">
      <c r="A480" s="4">
        <v>473</v>
      </c>
      <c r="B480">
        <v>2402</v>
      </c>
      <c r="C480" t="s">
        <v>1210</v>
      </c>
      <c r="D480" t="s">
        <v>179</v>
      </c>
      <c r="E480" t="s">
        <v>59</v>
      </c>
      <c r="F480" t="s">
        <v>1211</v>
      </c>
      <c r="G480" t="str">
        <f>"00531941"</f>
        <v>00531941</v>
      </c>
      <c r="H480">
        <v>28.8</v>
      </c>
      <c r="I480">
        <v>10</v>
      </c>
      <c r="M480">
        <v>4</v>
      </c>
      <c r="N480">
        <v>0</v>
      </c>
      <c r="O480">
        <v>0</v>
      </c>
      <c r="P480">
        <v>42.8</v>
      </c>
      <c r="Q480">
        <v>47</v>
      </c>
      <c r="R480">
        <v>47</v>
      </c>
      <c r="S480">
        <v>9</v>
      </c>
      <c r="T480">
        <v>0</v>
      </c>
      <c r="U480" s="1">
        <v>0</v>
      </c>
      <c r="V480">
        <v>98.8</v>
      </c>
    </row>
    <row r="481" spans="1:22" ht="15">
      <c r="A481" s="4">
        <v>474</v>
      </c>
      <c r="B481">
        <v>940</v>
      </c>
      <c r="C481" t="s">
        <v>1212</v>
      </c>
      <c r="D481" t="s">
        <v>1213</v>
      </c>
      <c r="E481" t="s">
        <v>90</v>
      </c>
      <c r="F481" t="s">
        <v>1214</v>
      </c>
      <c r="G481" t="str">
        <f>"00526607"</f>
        <v>00526607</v>
      </c>
      <c r="H481">
        <v>36.72</v>
      </c>
      <c r="I481">
        <v>10</v>
      </c>
      <c r="M481">
        <v>4</v>
      </c>
      <c r="N481">
        <v>0</v>
      </c>
      <c r="O481">
        <v>2</v>
      </c>
      <c r="P481">
        <v>52.72</v>
      </c>
      <c r="Q481">
        <v>43</v>
      </c>
      <c r="R481">
        <v>43</v>
      </c>
      <c r="S481">
        <v>3</v>
      </c>
      <c r="T481">
        <v>0</v>
      </c>
      <c r="U481" s="1">
        <v>0</v>
      </c>
      <c r="V481">
        <v>98.72</v>
      </c>
    </row>
    <row r="482" spans="1:22" ht="15">
      <c r="A482" s="4">
        <v>475</v>
      </c>
      <c r="B482">
        <v>3361</v>
      </c>
      <c r="C482" t="s">
        <v>1215</v>
      </c>
      <c r="D482" t="s">
        <v>29</v>
      </c>
      <c r="E482" t="s">
        <v>59</v>
      </c>
      <c r="F482" t="s">
        <v>1216</v>
      </c>
      <c r="G482" t="str">
        <f>"00485610"</f>
        <v>00485610</v>
      </c>
      <c r="H482">
        <v>57.6</v>
      </c>
      <c r="I482">
        <v>10</v>
      </c>
      <c r="L482">
        <v>4</v>
      </c>
      <c r="M482">
        <v>4</v>
      </c>
      <c r="N482">
        <v>4</v>
      </c>
      <c r="O482">
        <v>0</v>
      </c>
      <c r="P482">
        <v>75.6</v>
      </c>
      <c r="Q482">
        <v>23</v>
      </c>
      <c r="R482">
        <v>23</v>
      </c>
      <c r="S482">
        <v>0</v>
      </c>
      <c r="T482">
        <v>0</v>
      </c>
      <c r="U482" s="1">
        <v>0</v>
      </c>
      <c r="V482">
        <v>98.6</v>
      </c>
    </row>
    <row r="483" spans="1:22" ht="15">
      <c r="A483" s="4">
        <v>476</v>
      </c>
      <c r="B483">
        <v>1071</v>
      </c>
      <c r="C483" t="s">
        <v>1217</v>
      </c>
      <c r="D483" t="s">
        <v>222</v>
      </c>
      <c r="E483" t="s">
        <v>51</v>
      </c>
      <c r="F483" t="s">
        <v>1218</v>
      </c>
      <c r="G483" t="str">
        <f>"00512362"</f>
        <v>00512362</v>
      </c>
      <c r="H483">
        <v>57.6</v>
      </c>
      <c r="I483">
        <v>10</v>
      </c>
      <c r="M483">
        <v>4</v>
      </c>
      <c r="N483">
        <v>0</v>
      </c>
      <c r="O483">
        <v>0</v>
      </c>
      <c r="P483">
        <v>71.6</v>
      </c>
      <c r="Q483">
        <v>27</v>
      </c>
      <c r="R483">
        <v>27</v>
      </c>
      <c r="S483">
        <v>0</v>
      </c>
      <c r="T483">
        <v>0</v>
      </c>
      <c r="U483" s="1">
        <v>0</v>
      </c>
      <c r="V483">
        <v>98.6</v>
      </c>
    </row>
    <row r="484" spans="1:22" ht="15">
      <c r="A484" s="4">
        <v>477</v>
      </c>
      <c r="B484">
        <v>1451</v>
      </c>
      <c r="C484" t="s">
        <v>1219</v>
      </c>
      <c r="D484" t="s">
        <v>643</v>
      </c>
      <c r="E484" t="s">
        <v>51</v>
      </c>
      <c r="F484" t="s">
        <v>1220</v>
      </c>
      <c r="G484" t="str">
        <f>"00442070"</f>
        <v>00442070</v>
      </c>
      <c r="H484">
        <v>57.6</v>
      </c>
      <c r="I484">
        <v>0</v>
      </c>
      <c r="L484">
        <v>4</v>
      </c>
      <c r="M484">
        <v>4</v>
      </c>
      <c r="N484">
        <v>4</v>
      </c>
      <c r="O484">
        <v>0</v>
      </c>
      <c r="P484">
        <v>65.6</v>
      </c>
      <c r="Q484">
        <v>33</v>
      </c>
      <c r="R484">
        <v>33</v>
      </c>
      <c r="S484">
        <v>0</v>
      </c>
      <c r="T484">
        <v>0</v>
      </c>
      <c r="U484" s="1">
        <v>0</v>
      </c>
      <c r="V484">
        <v>98.6</v>
      </c>
    </row>
    <row r="485" spans="1:22" ht="15">
      <c r="A485" s="4">
        <v>478</v>
      </c>
      <c r="B485">
        <v>838</v>
      </c>
      <c r="C485" t="s">
        <v>1221</v>
      </c>
      <c r="D485" t="s">
        <v>40</v>
      </c>
      <c r="E485" t="s">
        <v>73</v>
      </c>
      <c r="F485" t="s">
        <v>1222</v>
      </c>
      <c r="G485" t="str">
        <f>"00525481"</f>
        <v>00525481</v>
      </c>
      <c r="H485">
        <v>21.6</v>
      </c>
      <c r="I485">
        <v>0</v>
      </c>
      <c r="M485">
        <v>4</v>
      </c>
      <c r="N485">
        <v>0</v>
      </c>
      <c r="O485">
        <v>2</v>
      </c>
      <c r="P485">
        <v>27.6</v>
      </c>
      <c r="Q485">
        <v>71</v>
      </c>
      <c r="R485">
        <v>71</v>
      </c>
      <c r="S485">
        <v>0</v>
      </c>
      <c r="T485">
        <v>0</v>
      </c>
      <c r="U485" s="1">
        <v>0</v>
      </c>
      <c r="V485">
        <v>98.6</v>
      </c>
    </row>
    <row r="486" spans="1:22" ht="15">
      <c r="A486" s="4">
        <v>479</v>
      </c>
      <c r="B486">
        <v>1133</v>
      </c>
      <c r="C486" t="s">
        <v>1223</v>
      </c>
      <c r="D486" t="s">
        <v>179</v>
      </c>
      <c r="E486" t="s">
        <v>403</v>
      </c>
      <c r="F486" t="s">
        <v>1224</v>
      </c>
      <c r="G486" t="str">
        <f>"00511066"</f>
        <v>00511066</v>
      </c>
      <c r="H486">
        <v>35.4</v>
      </c>
      <c r="I486">
        <v>0</v>
      </c>
      <c r="L486">
        <v>4</v>
      </c>
      <c r="M486">
        <v>4</v>
      </c>
      <c r="N486">
        <v>4</v>
      </c>
      <c r="O486">
        <v>0</v>
      </c>
      <c r="P486">
        <v>43.4</v>
      </c>
      <c r="Q486">
        <v>52</v>
      </c>
      <c r="R486">
        <v>52</v>
      </c>
      <c r="S486">
        <v>3</v>
      </c>
      <c r="T486">
        <v>0</v>
      </c>
      <c r="U486" s="1">
        <v>0</v>
      </c>
      <c r="V486">
        <v>98.4</v>
      </c>
    </row>
    <row r="487" spans="1:22" ht="15">
      <c r="A487" s="4">
        <v>480</v>
      </c>
      <c r="B487">
        <v>1485</v>
      </c>
      <c r="C487" t="s">
        <v>1225</v>
      </c>
      <c r="D487" t="s">
        <v>173</v>
      </c>
      <c r="E487" t="s">
        <v>19</v>
      </c>
      <c r="F487" t="s">
        <v>1226</v>
      </c>
      <c r="G487" t="str">
        <f>"00030491"</f>
        <v>00030491</v>
      </c>
      <c r="H487">
        <v>37.2</v>
      </c>
      <c r="I487">
        <v>0</v>
      </c>
      <c r="J487">
        <v>8</v>
      </c>
      <c r="M487">
        <v>4</v>
      </c>
      <c r="N487">
        <v>8</v>
      </c>
      <c r="O487">
        <v>2</v>
      </c>
      <c r="P487">
        <v>51.2</v>
      </c>
      <c r="Q487">
        <v>35</v>
      </c>
      <c r="R487">
        <v>35</v>
      </c>
      <c r="S487">
        <v>12</v>
      </c>
      <c r="T487">
        <v>0</v>
      </c>
      <c r="U487" s="1">
        <v>0</v>
      </c>
      <c r="V487">
        <v>98.2</v>
      </c>
    </row>
    <row r="488" spans="1:22" ht="15">
      <c r="A488" s="4">
        <v>481</v>
      </c>
      <c r="B488">
        <v>2683</v>
      </c>
      <c r="C488" t="s">
        <v>1227</v>
      </c>
      <c r="D488" t="s">
        <v>357</v>
      </c>
      <c r="E488" t="s">
        <v>11</v>
      </c>
      <c r="F488" t="s">
        <v>1228</v>
      </c>
      <c r="G488" t="str">
        <f>"201511043184"</f>
        <v>201511043184</v>
      </c>
      <c r="H488">
        <v>40</v>
      </c>
      <c r="I488">
        <v>10</v>
      </c>
      <c r="M488">
        <v>4</v>
      </c>
      <c r="N488">
        <v>0</v>
      </c>
      <c r="O488">
        <v>0</v>
      </c>
      <c r="P488">
        <v>54</v>
      </c>
      <c r="Q488">
        <v>0</v>
      </c>
      <c r="R488">
        <v>0</v>
      </c>
      <c r="S488">
        <v>12</v>
      </c>
      <c r="T488">
        <v>32</v>
      </c>
      <c r="U488" s="1">
        <v>0</v>
      </c>
      <c r="V488">
        <v>98</v>
      </c>
    </row>
    <row r="489" spans="1:22" ht="15">
      <c r="A489" s="4">
        <v>482</v>
      </c>
      <c r="B489">
        <v>1440</v>
      </c>
      <c r="C489" t="s">
        <v>1229</v>
      </c>
      <c r="D489" t="s">
        <v>1230</v>
      </c>
      <c r="E489" t="s">
        <v>11</v>
      </c>
      <c r="F489" t="s">
        <v>1231</v>
      </c>
      <c r="G489" t="str">
        <f>"00497950"</f>
        <v>00497950</v>
      </c>
      <c r="H489">
        <v>36</v>
      </c>
      <c r="I489">
        <v>10</v>
      </c>
      <c r="M489">
        <v>4</v>
      </c>
      <c r="N489">
        <v>0</v>
      </c>
      <c r="O489">
        <v>0</v>
      </c>
      <c r="P489">
        <v>50</v>
      </c>
      <c r="Q489">
        <v>39</v>
      </c>
      <c r="R489">
        <v>39</v>
      </c>
      <c r="S489">
        <v>9</v>
      </c>
      <c r="T489">
        <v>0</v>
      </c>
      <c r="U489" s="1">
        <v>0</v>
      </c>
      <c r="V489">
        <v>98</v>
      </c>
    </row>
    <row r="490" spans="1:22" ht="15">
      <c r="A490" s="4">
        <v>483</v>
      </c>
      <c r="B490">
        <v>1004</v>
      </c>
      <c r="C490" t="s">
        <v>1232</v>
      </c>
      <c r="D490" t="s">
        <v>1233</v>
      </c>
      <c r="E490" t="s">
        <v>15</v>
      </c>
      <c r="F490" t="s">
        <v>1234</v>
      </c>
      <c r="G490" t="str">
        <f>"00499329"</f>
        <v>00499329</v>
      </c>
      <c r="H490">
        <v>64.8</v>
      </c>
      <c r="I490">
        <v>0</v>
      </c>
      <c r="M490">
        <v>0</v>
      </c>
      <c r="N490">
        <v>0</v>
      </c>
      <c r="O490">
        <v>0</v>
      </c>
      <c r="P490">
        <v>64.8</v>
      </c>
      <c r="Q490">
        <v>33</v>
      </c>
      <c r="R490">
        <v>33</v>
      </c>
      <c r="S490">
        <v>0</v>
      </c>
      <c r="T490">
        <v>0</v>
      </c>
      <c r="U490" s="1">
        <v>0</v>
      </c>
      <c r="V490">
        <v>97.8</v>
      </c>
    </row>
    <row r="491" spans="1:22" ht="15">
      <c r="A491" s="4">
        <v>484</v>
      </c>
      <c r="B491">
        <v>345</v>
      </c>
      <c r="C491" t="s">
        <v>1235</v>
      </c>
      <c r="D491" t="s">
        <v>14</v>
      </c>
      <c r="E491" t="s">
        <v>15</v>
      </c>
      <c r="F491" t="s">
        <v>1236</v>
      </c>
      <c r="G491" t="str">
        <f>"00255618"</f>
        <v>00255618</v>
      </c>
      <c r="H491">
        <v>28.8</v>
      </c>
      <c r="I491">
        <v>10</v>
      </c>
      <c r="J491">
        <v>8</v>
      </c>
      <c r="M491">
        <v>4</v>
      </c>
      <c r="N491">
        <v>8</v>
      </c>
      <c r="O491">
        <v>0</v>
      </c>
      <c r="P491">
        <v>50.8</v>
      </c>
      <c r="Q491">
        <v>41</v>
      </c>
      <c r="R491">
        <v>41</v>
      </c>
      <c r="S491">
        <v>6</v>
      </c>
      <c r="T491">
        <v>0</v>
      </c>
      <c r="U491" s="1">
        <v>0</v>
      </c>
      <c r="V491">
        <v>97.8</v>
      </c>
    </row>
    <row r="492" spans="1:22" ht="15">
      <c r="A492" s="4">
        <v>485</v>
      </c>
      <c r="B492">
        <v>219</v>
      </c>
      <c r="C492" t="s">
        <v>1237</v>
      </c>
      <c r="D492" t="s">
        <v>29</v>
      </c>
      <c r="E492" t="s">
        <v>327</v>
      </c>
      <c r="F492" t="s">
        <v>1238</v>
      </c>
      <c r="G492" t="str">
        <f>"00500445"</f>
        <v>00500445</v>
      </c>
      <c r="H492">
        <v>37.76</v>
      </c>
      <c r="I492">
        <v>0</v>
      </c>
      <c r="M492">
        <v>4</v>
      </c>
      <c r="N492">
        <v>0</v>
      </c>
      <c r="O492">
        <v>0</v>
      </c>
      <c r="P492">
        <v>41.76</v>
      </c>
      <c r="Q492">
        <v>50</v>
      </c>
      <c r="R492">
        <v>50</v>
      </c>
      <c r="S492">
        <v>6</v>
      </c>
      <c r="T492">
        <v>0</v>
      </c>
      <c r="U492" s="1">
        <v>0</v>
      </c>
      <c r="V492">
        <v>97.76</v>
      </c>
    </row>
    <row r="493" spans="1:22" ht="15">
      <c r="A493" s="4">
        <v>486</v>
      </c>
      <c r="B493">
        <v>3341</v>
      </c>
      <c r="C493" t="s">
        <v>96</v>
      </c>
      <c r="D493" t="s">
        <v>102</v>
      </c>
      <c r="E493" t="s">
        <v>327</v>
      </c>
      <c r="F493" t="s">
        <v>1239</v>
      </c>
      <c r="G493" t="str">
        <f>"00532808"</f>
        <v>00532808</v>
      </c>
      <c r="H493">
        <v>14.4</v>
      </c>
      <c r="I493">
        <v>0</v>
      </c>
      <c r="M493">
        <v>4</v>
      </c>
      <c r="N493">
        <v>0</v>
      </c>
      <c r="O493">
        <v>0</v>
      </c>
      <c r="P493">
        <v>18.4</v>
      </c>
      <c r="Q493">
        <v>79</v>
      </c>
      <c r="R493">
        <v>79</v>
      </c>
      <c r="S493">
        <v>0</v>
      </c>
      <c r="T493">
        <v>0</v>
      </c>
      <c r="U493" s="1">
        <v>0</v>
      </c>
      <c r="V493">
        <v>97.4</v>
      </c>
    </row>
    <row r="494" spans="1:22" ht="15">
      <c r="A494" s="4">
        <v>487</v>
      </c>
      <c r="B494">
        <v>200</v>
      </c>
      <c r="C494" t="s">
        <v>1240</v>
      </c>
      <c r="D494" t="s">
        <v>26</v>
      </c>
      <c r="E494" t="s">
        <v>11</v>
      </c>
      <c r="F494" t="s">
        <v>1241</v>
      </c>
      <c r="G494" t="str">
        <f>"00266337"</f>
        <v>00266337</v>
      </c>
      <c r="H494">
        <v>39.2</v>
      </c>
      <c r="I494">
        <v>0</v>
      </c>
      <c r="M494">
        <v>0</v>
      </c>
      <c r="N494">
        <v>0</v>
      </c>
      <c r="O494">
        <v>0</v>
      </c>
      <c r="P494">
        <v>39.2</v>
      </c>
      <c r="Q494">
        <v>29</v>
      </c>
      <c r="R494">
        <v>29</v>
      </c>
      <c r="S494">
        <v>0</v>
      </c>
      <c r="T494">
        <v>29.2</v>
      </c>
      <c r="U494" s="1">
        <v>0</v>
      </c>
      <c r="V494">
        <v>97.4</v>
      </c>
    </row>
    <row r="495" spans="1:22" ht="15">
      <c r="A495" s="4">
        <v>488</v>
      </c>
      <c r="B495">
        <v>2497</v>
      </c>
      <c r="C495" t="s">
        <v>1242</v>
      </c>
      <c r="D495" t="s">
        <v>643</v>
      </c>
      <c r="E495" t="s">
        <v>403</v>
      </c>
      <c r="F495" t="s">
        <v>1243</v>
      </c>
      <c r="G495" t="str">
        <f>"00442424"</f>
        <v>00442424</v>
      </c>
      <c r="H495">
        <v>23.28</v>
      </c>
      <c r="I495">
        <v>10</v>
      </c>
      <c r="M495">
        <v>0</v>
      </c>
      <c r="N495">
        <v>0</v>
      </c>
      <c r="O495">
        <v>0</v>
      </c>
      <c r="P495">
        <v>33.28</v>
      </c>
      <c r="Q495">
        <v>58</v>
      </c>
      <c r="R495">
        <v>58</v>
      </c>
      <c r="S495">
        <v>6</v>
      </c>
      <c r="T495">
        <v>0</v>
      </c>
      <c r="U495" s="1">
        <v>0</v>
      </c>
      <c r="V495">
        <v>97.28</v>
      </c>
    </row>
    <row r="496" spans="1:22" ht="15">
      <c r="A496" s="4">
        <v>489</v>
      </c>
      <c r="B496">
        <v>2130</v>
      </c>
      <c r="C496" t="s">
        <v>1244</v>
      </c>
      <c r="D496" t="s">
        <v>124</v>
      </c>
      <c r="E496" t="s">
        <v>90</v>
      </c>
      <c r="F496" t="s">
        <v>1245</v>
      </c>
      <c r="G496" t="str">
        <f>"00531213"</f>
        <v>00531213</v>
      </c>
      <c r="H496">
        <v>43.2</v>
      </c>
      <c r="I496">
        <v>0</v>
      </c>
      <c r="L496">
        <v>4</v>
      </c>
      <c r="M496">
        <v>4</v>
      </c>
      <c r="N496">
        <v>4</v>
      </c>
      <c r="O496">
        <v>0</v>
      </c>
      <c r="P496">
        <v>51.2</v>
      </c>
      <c r="Q496">
        <v>43</v>
      </c>
      <c r="R496">
        <v>43</v>
      </c>
      <c r="S496">
        <v>3</v>
      </c>
      <c r="T496">
        <v>0</v>
      </c>
      <c r="U496" s="1">
        <v>0</v>
      </c>
      <c r="V496">
        <v>97.2</v>
      </c>
    </row>
    <row r="497" spans="1:22" ht="15">
      <c r="A497" s="4">
        <v>490</v>
      </c>
      <c r="B497">
        <v>1540</v>
      </c>
      <c r="C497" t="s">
        <v>1246</v>
      </c>
      <c r="D497" t="s">
        <v>130</v>
      </c>
      <c r="E497" t="s">
        <v>30</v>
      </c>
      <c r="F497" t="s">
        <v>1247</v>
      </c>
      <c r="G497" t="str">
        <f>"00526534"</f>
        <v>00526534</v>
      </c>
      <c r="H497">
        <v>43.2</v>
      </c>
      <c r="I497">
        <v>10</v>
      </c>
      <c r="M497">
        <v>0</v>
      </c>
      <c r="N497">
        <v>0</v>
      </c>
      <c r="O497">
        <v>0</v>
      </c>
      <c r="P497">
        <v>53.2</v>
      </c>
      <c r="Q497">
        <v>38</v>
      </c>
      <c r="R497">
        <v>38</v>
      </c>
      <c r="S497">
        <v>6</v>
      </c>
      <c r="T497">
        <v>0</v>
      </c>
      <c r="U497" s="1">
        <v>0</v>
      </c>
      <c r="V497">
        <v>97.2</v>
      </c>
    </row>
    <row r="498" spans="1:22" ht="15">
      <c r="A498" s="4">
        <v>491</v>
      </c>
      <c r="B498">
        <v>2084</v>
      </c>
      <c r="C498" t="s">
        <v>1248</v>
      </c>
      <c r="D498" t="s">
        <v>22</v>
      </c>
      <c r="E498" t="s">
        <v>1249</v>
      </c>
      <c r="F498" t="s">
        <v>1250</v>
      </c>
      <c r="G498" t="str">
        <f>"00481675"</f>
        <v>00481675</v>
      </c>
      <c r="H498">
        <v>43.2</v>
      </c>
      <c r="I498">
        <v>10</v>
      </c>
      <c r="L498">
        <v>4</v>
      </c>
      <c r="M498">
        <v>4</v>
      </c>
      <c r="N498">
        <v>4</v>
      </c>
      <c r="O498">
        <v>0</v>
      </c>
      <c r="P498">
        <v>61.2</v>
      </c>
      <c r="Q498">
        <v>33</v>
      </c>
      <c r="R498">
        <v>33</v>
      </c>
      <c r="S498">
        <v>3</v>
      </c>
      <c r="T498">
        <v>0</v>
      </c>
      <c r="U498" s="1">
        <v>0</v>
      </c>
      <c r="V498">
        <v>97.2</v>
      </c>
    </row>
    <row r="499" spans="1:22" ht="15">
      <c r="A499" s="4">
        <v>492</v>
      </c>
      <c r="B499">
        <v>2819</v>
      </c>
      <c r="C499" t="s">
        <v>1251</v>
      </c>
      <c r="D499" t="s">
        <v>1252</v>
      </c>
      <c r="E499" t="s">
        <v>23</v>
      </c>
      <c r="F499" t="s">
        <v>1253</v>
      </c>
      <c r="G499" t="str">
        <f>"201512003041"</f>
        <v>201512003041</v>
      </c>
      <c r="H499">
        <v>43.2</v>
      </c>
      <c r="I499">
        <v>10</v>
      </c>
      <c r="J499">
        <v>8</v>
      </c>
      <c r="M499">
        <v>4</v>
      </c>
      <c r="N499">
        <v>8</v>
      </c>
      <c r="O499">
        <v>0</v>
      </c>
      <c r="P499">
        <v>65.2</v>
      </c>
      <c r="Q499">
        <v>26</v>
      </c>
      <c r="R499">
        <v>26</v>
      </c>
      <c r="S499">
        <v>6</v>
      </c>
      <c r="T499">
        <v>0</v>
      </c>
      <c r="U499" s="1">
        <v>0</v>
      </c>
      <c r="V499">
        <v>97.2</v>
      </c>
    </row>
    <row r="500" spans="1:22" ht="15">
      <c r="A500" s="4">
        <v>493</v>
      </c>
      <c r="B500">
        <v>1727</v>
      </c>
      <c r="C500" t="s">
        <v>915</v>
      </c>
      <c r="D500" t="s">
        <v>121</v>
      </c>
      <c r="E500" t="s">
        <v>30</v>
      </c>
      <c r="F500" t="s">
        <v>1254</v>
      </c>
      <c r="G500" t="str">
        <f>"00482150"</f>
        <v>00482150</v>
      </c>
      <c r="H500">
        <v>36</v>
      </c>
      <c r="I500">
        <v>0</v>
      </c>
      <c r="L500">
        <v>4</v>
      </c>
      <c r="M500">
        <v>4</v>
      </c>
      <c r="N500">
        <v>4</v>
      </c>
      <c r="O500">
        <v>2</v>
      </c>
      <c r="P500">
        <v>46</v>
      </c>
      <c r="Q500">
        <v>51</v>
      </c>
      <c r="R500">
        <v>51</v>
      </c>
      <c r="S500">
        <v>0</v>
      </c>
      <c r="T500">
        <v>0</v>
      </c>
      <c r="U500" s="1">
        <v>0</v>
      </c>
      <c r="V500">
        <v>97</v>
      </c>
    </row>
    <row r="501" spans="1:22" ht="15">
      <c r="A501" s="4">
        <v>494</v>
      </c>
      <c r="B501">
        <v>1171</v>
      </c>
      <c r="C501" t="s">
        <v>1255</v>
      </c>
      <c r="D501" t="s">
        <v>1256</v>
      </c>
      <c r="E501" t="s">
        <v>23</v>
      </c>
      <c r="F501" t="s">
        <v>1257</v>
      </c>
      <c r="G501" t="str">
        <f>"00485040"</f>
        <v>00485040</v>
      </c>
      <c r="H501">
        <v>36</v>
      </c>
      <c r="I501">
        <v>0</v>
      </c>
      <c r="K501">
        <v>6</v>
      </c>
      <c r="M501">
        <v>4</v>
      </c>
      <c r="N501">
        <v>6</v>
      </c>
      <c r="O501">
        <v>0</v>
      </c>
      <c r="P501">
        <v>46</v>
      </c>
      <c r="Q501">
        <v>48</v>
      </c>
      <c r="R501">
        <v>48</v>
      </c>
      <c r="S501">
        <v>3</v>
      </c>
      <c r="T501">
        <v>0</v>
      </c>
      <c r="U501" s="1">
        <v>0</v>
      </c>
      <c r="V501">
        <v>97</v>
      </c>
    </row>
    <row r="502" spans="1:22" ht="15">
      <c r="A502" s="4">
        <v>495</v>
      </c>
      <c r="B502">
        <v>616</v>
      </c>
      <c r="C502" t="s">
        <v>1258</v>
      </c>
      <c r="D502" t="s">
        <v>280</v>
      </c>
      <c r="E502" t="s">
        <v>51</v>
      </c>
      <c r="F502" t="s">
        <v>1259</v>
      </c>
      <c r="G502" t="str">
        <f>"00525294"</f>
        <v>00525294</v>
      </c>
      <c r="H502">
        <v>72</v>
      </c>
      <c r="I502">
        <v>0</v>
      </c>
      <c r="M502">
        <v>0</v>
      </c>
      <c r="N502">
        <v>0</v>
      </c>
      <c r="O502">
        <v>0</v>
      </c>
      <c r="P502">
        <v>72</v>
      </c>
      <c r="Q502">
        <v>25</v>
      </c>
      <c r="R502">
        <v>25</v>
      </c>
      <c r="S502">
        <v>0</v>
      </c>
      <c r="T502">
        <v>0</v>
      </c>
      <c r="U502" s="1">
        <v>0</v>
      </c>
      <c r="V502">
        <v>97</v>
      </c>
    </row>
    <row r="503" spans="1:22" ht="15">
      <c r="A503" s="4">
        <v>496</v>
      </c>
      <c r="B503">
        <v>2606</v>
      </c>
      <c r="C503" t="s">
        <v>1260</v>
      </c>
      <c r="D503" t="s">
        <v>121</v>
      </c>
      <c r="E503" t="s">
        <v>19</v>
      </c>
      <c r="F503" t="s">
        <v>1261</v>
      </c>
      <c r="G503" t="str">
        <f>"00520517"</f>
        <v>00520517</v>
      </c>
      <c r="H503">
        <v>40</v>
      </c>
      <c r="I503">
        <v>0</v>
      </c>
      <c r="L503">
        <v>4</v>
      </c>
      <c r="M503">
        <v>4</v>
      </c>
      <c r="N503">
        <v>4</v>
      </c>
      <c r="O503">
        <v>2</v>
      </c>
      <c r="P503">
        <v>50</v>
      </c>
      <c r="Q503">
        <v>41</v>
      </c>
      <c r="R503">
        <v>41</v>
      </c>
      <c r="S503">
        <v>6</v>
      </c>
      <c r="T503">
        <v>0</v>
      </c>
      <c r="U503" s="1">
        <v>0</v>
      </c>
      <c r="V503">
        <v>97</v>
      </c>
    </row>
    <row r="504" spans="1:22" ht="15">
      <c r="A504" s="4">
        <v>497</v>
      </c>
      <c r="B504">
        <v>478</v>
      </c>
      <c r="C504" t="s">
        <v>516</v>
      </c>
      <c r="D504" t="s">
        <v>1262</v>
      </c>
      <c r="E504" t="s">
        <v>11</v>
      </c>
      <c r="F504" t="s">
        <v>1263</v>
      </c>
      <c r="G504" t="str">
        <f>"00518358"</f>
        <v>00518358</v>
      </c>
      <c r="H504">
        <v>28.8</v>
      </c>
      <c r="I504">
        <v>0</v>
      </c>
      <c r="L504">
        <v>4</v>
      </c>
      <c r="M504">
        <v>0</v>
      </c>
      <c r="N504">
        <v>4</v>
      </c>
      <c r="O504">
        <v>0</v>
      </c>
      <c r="P504">
        <v>32.8</v>
      </c>
      <c r="Q504">
        <v>64</v>
      </c>
      <c r="R504">
        <v>64</v>
      </c>
      <c r="S504">
        <v>0</v>
      </c>
      <c r="T504">
        <v>0</v>
      </c>
      <c r="U504" s="1">
        <v>0</v>
      </c>
      <c r="V504">
        <v>96.8</v>
      </c>
    </row>
    <row r="505" spans="1:22" ht="15">
      <c r="A505" s="4">
        <v>498</v>
      </c>
      <c r="B505">
        <v>2731</v>
      </c>
      <c r="C505" t="s">
        <v>1264</v>
      </c>
      <c r="D505" t="s">
        <v>59</v>
      </c>
      <c r="E505" t="s">
        <v>11</v>
      </c>
      <c r="F505" t="s">
        <v>1265</v>
      </c>
      <c r="G505" t="str">
        <f>"00514365"</f>
        <v>00514365</v>
      </c>
      <c r="H505">
        <v>64.8</v>
      </c>
      <c r="I505">
        <v>0</v>
      </c>
      <c r="M505">
        <v>4</v>
      </c>
      <c r="N505">
        <v>0</v>
      </c>
      <c r="O505">
        <v>0</v>
      </c>
      <c r="P505">
        <v>68.8</v>
      </c>
      <c r="Q505">
        <v>28</v>
      </c>
      <c r="R505">
        <v>28</v>
      </c>
      <c r="S505">
        <v>0</v>
      </c>
      <c r="T505">
        <v>0</v>
      </c>
      <c r="U505" s="1">
        <v>0</v>
      </c>
      <c r="V505">
        <v>96.8</v>
      </c>
    </row>
    <row r="506" spans="1:22" ht="15">
      <c r="A506" s="4">
        <v>499</v>
      </c>
      <c r="B506">
        <v>2055</v>
      </c>
      <c r="C506" t="s">
        <v>1266</v>
      </c>
      <c r="D506" t="s">
        <v>179</v>
      </c>
      <c r="E506" t="s">
        <v>83</v>
      </c>
      <c r="F506" t="s">
        <v>1267</v>
      </c>
      <c r="G506" t="str">
        <f>"00487248"</f>
        <v>00487248</v>
      </c>
      <c r="H506">
        <v>64.8</v>
      </c>
      <c r="I506">
        <v>10</v>
      </c>
      <c r="J506">
        <v>8</v>
      </c>
      <c r="M506">
        <v>4</v>
      </c>
      <c r="N506">
        <v>8</v>
      </c>
      <c r="O506">
        <v>2</v>
      </c>
      <c r="P506">
        <v>88.8</v>
      </c>
      <c r="Q506">
        <v>8</v>
      </c>
      <c r="R506">
        <v>8</v>
      </c>
      <c r="S506">
        <v>0</v>
      </c>
      <c r="T506">
        <v>0</v>
      </c>
      <c r="U506" s="1">
        <v>0</v>
      </c>
      <c r="V506">
        <v>96.8</v>
      </c>
    </row>
    <row r="507" spans="1:22" ht="15">
      <c r="A507" s="4">
        <v>500</v>
      </c>
      <c r="B507">
        <v>3315</v>
      </c>
      <c r="C507" t="s">
        <v>1268</v>
      </c>
      <c r="D507" t="s">
        <v>1133</v>
      </c>
      <c r="E507" t="s">
        <v>99</v>
      </c>
      <c r="F507" t="s">
        <v>1269</v>
      </c>
      <c r="G507" t="str">
        <f>"00161645"</f>
        <v>00161645</v>
      </c>
      <c r="H507">
        <v>36</v>
      </c>
      <c r="I507">
        <v>0</v>
      </c>
      <c r="M507">
        <v>4</v>
      </c>
      <c r="N507">
        <v>0</v>
      </c>
      <c r="O507">
        <v>0</v>
      </c>
      <c r="P507">
        <v>40</v>
      </c>
      <c r="Q507">
        <v>24</v>
      </c>
      <c r="R507">
        <v>24</v>
      </c>
      <c r="S507">
        <v>6</v>
      </c>
      <c r="T507">
        <v>26.8</v>
      </c>
      <c r="U507" s="1">
        <v>0</v>
      </c>
      <c r="V507">
        <v>96.8</v>
      </c>
    </row>
    <row r="508" spans="1:22" ht="15">
      <c r="A508" s="4">
        <v>501</v>
      </c>
      <c r="B508">
        <v>1476</v>
      </c>
      <c r="C508" t="s">
        <v>1270</v>
      </c>
      <c r="D508" t="s">
        <v>89</v>
      </c>
      <c r="E508" t="s">
        <v>41</v>
      </c>
      <c r="F508" t="s">
        <v>1271</v>
      </c>
      <c r="G508" t="str">
        <f>"00152219"</f>
        <v>00152219</v>
      </c>
      <c r="H508">
        <v>28.8</v>
      </c>
      <c r="I508">
        <v>0</v>
      </c>
      <c r="L508">
        <v>4</v>
      </c>
      <c r="M508">
        <v>0</v>
      </c>
      <c r="N508">
        <v>4</v>
      </c>
      <c r="O508">
        <v>0</v>
      </c>
      <c r="P508">
        <v>32.8</v>
      </c>
      <c r="Q508">
        <v>58</v>
      </c>
      <c r="R508">
        <v>58</v>
      </c>
      <c r="S508">
        <v>6</v>
      </c>
      <c r="T508">
        <v>0</v>
      </c>
      <c r="U508" s="1">
        <v>0</v>
      </c>
      <c r="V508">
        <v>96.8</v>
      </c>
    </row>
    <row r="509" spans="1:22" ht="15">
      <c r="A509" s="4">
        <v>502</v>
      </c>
      <c r="B509">
        <v>3264</v>
      </c>
      <c r="C509" t="s">
        <v>1272</v>
      </c>
      <c r="D509" t="s">
        <v>493</v>
      </c>
      <c r="E509" t="s">
        <v>327</v>
      </c>
      <c r="F509" t="s">
        <v>1273</v>
      </c>
      <c r="G509" t="str">
        <f>"00477622"</f>
        <v>00477622</v>
      </c>
      <c r="H509">
        <v>57.6</v>
      </c>
      <c r="I509">
        <v>0</v>
      </c>
      <c r="J509">
        <v>8</v>
      </c>
      <c r="M509">
        <v>4</v>
      </c>
      <c r="N509">
        <v>8</v>
      </c>
      <c r="O509">
        <v>0</v>
      </c>
      <c r="P509">
        <v>69.6</v>
      </c>
      <c r="Q509">
        <v>27</v>
      </c>
      <c r="R509">
        <v>27</v>
      </c>
      <c r="S509">
        <v>0</v>
      </c>
      <c r="T509">
        <v>0</v>
      </c>
      <c r="U509" s="1">
        <v>0</v>
      </c>
      <c r="V509">
        <v>96.6</v>
      </c>
    </row>
    <row r="510" spans="1:22" ht="15">
      <c r="A510" s="4">
        <v>503</v>
      </c>
      <c r="B510">
        <v>2716</v>
      </c>
      <c r="C510" t="s">
        <v>1274</v>
      </c>
      <c r="D510" t="s">
        <v>1275</v>
      </c>
      <c r="E510" t="s">
        <v>30</v>
      </c>
      <c r="F510" t="s">
        <v>1276</v>
      </c>
      <c r="G510" t="str">
        <f>"00518236"</f>
        <v>00518236</v>
      </c>
      <c r="H510">
        <v>14.4</v>
      </c>
      <c r="I510">
        <v>10</v>
      </c>
      <c r="M510">
        <v>0</v>
      </c>
      <c r="N510">
        <v>0</v>
      </c>
      <c r="O510">
        <v>0</v>
      </c>
      <c r="P510">
        <v>24.4</v>
      </c>
      <c r="Q510">
        <v>66</v>
      </c>
      <c r="R510">
        <v>66</v>
      </c>
      <c r="S510">
        <v>6</v>
      </c>
      <c r="T510">
        <v>0</v>
      </c>
      <c r="U510" s="1">
        <v>0</v>
      </c>
      <c r="V510">
        <v>96.4</v>
      </c>
    </row>
    <row r="511" spans="1:22" ht="15">
      <c r="A511" s="4">
        <v>504</v>
      </c>
      <c r="B511">
        <v>1027</v>
      </c>
      <c r="C511" t="s">
        <v>1277</v>
      </c>
      <c r="D511" t="s">
        <v>1278</v>
      </c>
      <c r="E511" t="s">
        <v>732</v>
      </c>
      <c r="F511" t="s">
        <v>1279</v>
      </c>
      <c r="G511" t="str">
        <f>"00504540"</f>
        <v>00504540</v>
      </c>
      <c r="H511">
        <v>34.24</v>
      </c>
      <c r="I511">
        <v>0</v>
      </c>
      <c r="M511">
        <v>4</v>
      </c>
      <c r="N511">
        <v>0</v>
      </c>
      <c r="O511">
        <v>0</v>
      </c>
      <c r="P511">
        <v>38.24</v>
      </c>
      <c r="Q511">
        <v>58</v>
      </c>
      <c r="R511">
        <v>58</v>
      </c>
      <c r="S511">
        <v>0</v>
      </c>
      <c r="T511">
        <v>0</v>
      </c>
      <c r="U511" s="1">
        <v>0</v>
      </c>
      <c r="V511">
        <v>96.24</v>
      </c>
    </row>
    <row r="512" spans="1:22" ht="15">
      <c r="A512" s="4">
        <v>505</v>
      </c>
      <c r="B512">
        <v>3123</v>
      </c>
      <c r="C512" t="s">
        <v>1280</v>
      </c>
      <c r="D512" t="s">
        <v>68</v>
      </c>
      <c r="E512" t="s">
        <v>11</v>
      </c>
      <c r="F512" t="s">
        <v>1281</v>
      </c>
      <c r="G512" t="str">
        <f>"00533000"</f>
        <v>00533000</v>
      </c>
      <c r="H512">
        <v>7.2</v>
      </c>
      <c r="I512">
        <v>0</v>
      </c>
      <c r="M512">
        <v>0</v>
      </c>
      <c r="N512">
        <v>0</v>
      </c>
      <c r="O512">
        <v>0</v>
      </c>
      <c r="P512">
        <v>7.2</v>
      </c>
      <c r="Q512">
        <v>43</v>
      </c>
      <c r="R512">
        <v>43</v>
      </c>
      <c r="S512">
        <v>6</v>
      </c>
      <c r="T512">
        <v>40</v>
      </c>
      <c r="U512" s="1">
        <v>0</v>
      </c>
      <c r="V512">
        <v>96.2</v>
      </c>
    </row>
    <row r="513" spans="1:22" ht="15">
      <c r="A513" s="4">
        <v>506</v>
      </c>
      <c r="B513">
        <v>2022</v>
      </c>
      <c r="C513" t="s">
        <v>1282</v>
      </c>
      <c r="D513" t="s">
        <v>640</v>
      </c>
      <c r="E513" t="s">
        <v>23</v>
      </c>
      <c r="F513" t="s">
        <v>1283</v>
      </c>
      <c r="G513" t="str">
        <f>"00153742"</f>
        <v>00153742</v>
      </c>
      <c r="H513">
        <v>43.2</v>
      </c>
      <c r="I513">
        <v>0</v>
      </c>
      <c r="M513">
        <v>4</v>
      </c>
      <c r="N513">
        <v>0</v>
      </c>
      <c r="O513">
        <v>0</v>
      </c>
      <c r="P513">
        <v>47.2</v>
      </c>
      <c r="Q513">
        <v>49</v>
      </c>
      <c r="R513">
        <v>49</v>
      </c>
      <c r="S513">
        <v>0</v>
      </c>
      <c r="T513">
        <v>0</v>
      </c>
      <c r="U513" s="1">
        <v>0</v>
      </c>
      <c r="V513">
        <v>96.2</v>
      </c>
    </row>
    <row r="514" spans="1:22" ht="15">
      <c r="A514" s="4">
        <v>507</v>
      </c>
      <c r="B514">
        <v>1065</v>
      </c>
      <c r="C514" t="s">
        <v>1284</v>
      </c>
      <c r="D514" t="s">
        <v>89</v>
      </c>
      <c r="E514" t="s">
        <v>1285</v>
      </c>
      <c r="F514" t="s">
        <v>1286</v>
      </c>
      <c r="G514" t="str">
        <f>"00518121"</f>
        <v>00518121</v>
      </c>
      <c r="H514">
        <v>36</v>
      </c>
      <c r="I514">
        <v>10</v>
      </c>
      <c r="L514">
        <v>4</v>
      </c>
      <c r="M514">
        <v>4</v>
      </c>
      <c r="N514">
        <v>4</v>
      </c>
      <c r="O514">
        <v>2</v>
      </c>
      <c r="P514">
        <v>56</v>
      </c>
      <c r="Q514">
        <v>40</v>
      </c>
      <c r="R514">
        <v>40</v>
      </c>
      <c r="S514">
        <v>0</v>
      </c>
      <c r="T514">
        <v>0</v>
      </c>
      <c r="U514" s="1">
        <v>0</v>
      </c>
      <c r="V514">
        <v>96</v>
      </c>
    </row>
    <row r="515" spans="1:22" ht="15">
      <c r="A515" s="4">
        <v>508</v>
      </c>
      <c r="B515">
        <v>622</v>
      </c>
      <c r="C515" t="s">
        <v>1287</v>
      </c>
      <c r="D515" t="s">
        <v>170</v>
      </c>
      <c r="E515" t="s">
        <v>83</v>
      </c>
      <c r="F515" t="s">
        <v>1288</v>
      </c>
      <c r="G515" t="str">
        <f>"00442064"</f>
        <v>00442064</v>
      </c>
      <c r="H515">
        <v>0</v>
      </c>
      <c r="I515">
        <v>0</v>
      </c>
      <c r="M515">
        <v>4</v>
      </c>
      <c r="N515">
        <v>0</v>
      </c>
      <c r="O515">
        <v>0</v>
      </c>
      <c r="P515">
        <v>4</v>
      </c>
      <c r="Q515">
        <v>86</v>
      </c>
      <c r="R515">
        <v>86</v>
      </c>
      <c r="S515">
        <v>6</v>
      </c>
      <c r="T515">
        <v>0</v>
      </c>
      <c r="U515" s="1">
        <v>0</v>
      </c>
      <c r="V515">
        <v>96</v>
      </c>
    </row>
    <row r="516" spans="1:22" ht="15">
      <c r="A516" s="4">
        <v>509</v>
      </c>
      <c r="B516">
        <v>3441</v>
      </c>
      <c r="C516" t="s">
        <v>1289</v>
      </c>
      <c r="D516" t="s">
        <v>1290</v>
      </c>
      <c r="E516" t="s">
        <v>1291</v>
      </c>
      <c r="F516" t="s">
        <v>1292</v>
      </c>
      <c r="G516" t="str">
        <f>"00004910"</f>
        <v>00004910</v>
      </c>
      <c r="H516">
        <v>40</v>
      </c>
      <c r="I516">
        <v>10</v>
      </c>
      <c r="L516">
        <v>4</v>
      </c>
      <c r="M516">
        <v>4</v>
      </c>
      <c r="N516">
        <v>4</v>
      </c>
      <c r="O516">
        <v>0</v>
      </c>
      <c r="P516">
        <v>58</v>
      </c>
      <c r="Q516">
        <v>0</v>
      </c>
      <c r="R516">
        <v>0</v>
      </c>
      <c r="S516">
        <v>6</v>
      </c>
      <c r="T516">
        <v>32</v>
      </c>
      <c r="U516" s="1">
        <v>0</v>
      </c>
      <c r="V516">
        <v>96</v>
      </c>
    </row>
    <row r="517" spans="1:22" ht="15">
      <c r="A517" s="4">
        <v>510</v>
      </c>
      <c r="B517">
        <v>588</v>
      </c>
      <c r="C517" t="s">
        <v>1293</v>
      </c>
      <c r="D517" t="s">
        <v>22</v>
      </c>
      <c r="E517" t="s">
        <v>83</v>
      </c>
      <c r="F517" t="s">
        <v>1294</v>
      </c>
      <c r="G517" t="str">
        <f>"00441525"</f>
        <v>00441525</v>
      </c>
      <c r="H517">
        <v>28.8</v>
      </c>
      <c r="I517">
        <v>0</v>
      </c>
      <c r="M517">
        <v>4</v>
      </c>
      <c r="N517">
        <v>0</v>
      </c>
      <c r="O517">
        <v>0</v>
      </c>
      <c r="P517">
        <v>32.8</v>
      </c>
      <c r="Q517">
        <v>60</v>
      </c>
      <c r="R517">
        <v>60</v>
      </c>
      <c r="S517">
        <v>3</v>
      </c>
      <c r="T517">
        <v>0</v>
      </c>
      <c r="U517" s="1">
        <v>0</v>
      </c>
      <c r="V517">
        <v>95.8</v>
      </c>
    </row>
    <row r="518" spans="1:22" ht="15">
      <c r="A518" s="4">
        <v>511</v>
      </c>
      <c r="B518">
        <v>505</v>
      </c>
      <c r="C518" t="s">
        <v>1295</v>
      </c>
      <c r="D518" t="s">
        <v>1296</v>
      </c>
      <c r="E518" t="s">
        <v>51</v>
      </c>
      <c r="F518" t="s">
        <v>1297</v>
      </c>
      <c r="G518" t="str">
        <f>"00206589"</f>
        <v>00206589</v>
      </c>
      <c r="H518">
        <v>21.6</v>
      </c>
      <c r="I518">
        <v>10</v>
      </c>
      <c r="M518">
        <v>4</v>
      </c>
      <c r="N518">
        <v>0</v>
      </c>
      <c r="O518">
        <v>0</v>
      </c>
      <c r="P518">
        <v>35.6</v>
      </c>
      <c r="Q518">
        <v>54</v>
      </c>
      <c r="R518">
        <v>54</v>
      </c>
      <c r="S518">
        <v>6</v>
      </c>
      <c r="T518">
        <v>0</v>
      </c>
      <c r="U518" s="1">
        <v>0</v>
      </c>
      <c r="V518">
        <v>95.6</v>
      </c>
    </row>
    <row r="519" spans="1:22" ht="15">
      <c r="A519" s="4">
        <v>512</v>
      </c>
      <c r="B519">
        <v>1740</v>
      </c>
      <c r="C519" t="s">
        <v>1298</v>
      </c>
      <c r="D519" t="s">
        <v>211</v>
      </c>
      <c r="E519" t="s">
        <v>1299</v>
      </c>
      <c r="F519" t="s">
        <v>1300</v>
      </c>
      <c r="G519" t="str">
        <f>"00523612"</f>
        <v>00523612</v>
      </c>
      <c r="H519">
        <v>21.6</v>
      </c>
      <c r="I519">
        <v>10</v>
      </c>
      <c r="M519">
        <v>0</v>
      </c>
      <c r="N519">
        <v>0</v>
      </c>
      <c r="O519">
        <v>0</v>
      </c>
      <c r="P519">
        <v>31.6</v>
      </c>
      <c r="Q519">
        <v>64</v>
      </c>
      <c r="R519">
        <v>64</v>
      </c>
      <c r="S519">
        <v>0</v>
      </c>
      <c r="T519">
        <v>0</v>
      </c>
      <c r="U519" s="1">
        <v>0</v>
      </c>
      <c r="V519">
        <v>95.6</v>
      </c>
    </row>
    <row r="520" spans="1:22" ht="15">
      <c r="A520" s="4">
        <v>513</v>
      </c>
      <c r="B520">
        <v>309</v>
      </c>
      <c r="C520" t="s">
        <v>1301</v>
      </c>
      <c r="D520" t="s">
        <v>156</v>
      </c>
      <c r="E520" t="s">
        <v>30</v>
      </c>
      <c r="F520" t="s">
        <v>1302</v>
      </c>
      <c r="G520" t="str">
        <f>"00510932"</f>
        <v>00510932</v>
      </c>
      <c r="H520">
        <v>57.6</v>
      </c>
      <c r="I520">
        <v>0</v>
      </c>
      <c r="J520">
        <v>8</v>
      </c>
      <c r="M520">
        <v>4</v>
      </c>
      <c r="N520">
        <v>8</v>
      </c>
      <c r="O520">
        <v>0</v>
      </c>
      <c r="P520">
        <v>69.6</v>
      </c>
      <c r="Q520">
        <v>26</v>
      </c>
      <c r="R520">
        <v>26</v>
      </c>
      <c r="S520">
        <v>0</v>
      </c>
      <c r="T520">
        <v>0</v>
      </c>
      <c r="U520" s="1">
        <v>0</v>
      </c>
      <c r="V520">
        <v>95.6</v>
      </c>
    </row>
    <row r="521" spans="1:22" ht="15">
      <c r="A521" s="4">
        <v>514</v>
      </c>
      <c r="B521">
        <v>3111</v>
      </c>
      <c r="C521" t="s">
        <v>1303</v>
      </c>
      <c r="D521" t="s">
        <v>14</v>
      </c>
      <c r="E521" t="s">
        <v>440</v>
      </c>
      <c r="F521" t="s">
        <v>1304</v>
      </c>
      <c r="G521" t="str">
        <f>"00531211"</f>
        <v>00531211</v>
      </c>
      <c r="H521">
        <v>57.6</v>
      </c>
      <c r="I521">
        <v>0</v>
      </c>
      <c r="M521">
        <v>4</v>
      </c>
      <c r="N521">
        <v>0</v>
      </c>
      <c r="O521">
        <v>0</v>
      </c>
      <c r="P521">
        <v>61.6</v>
      </c>
      <c r="Q521">
        <v>8</v>
      </c>
      <c r="R521">
        <v>8</v>
      </c>
      <c r="S521">
        <v>6</v>
      </c>
      <c r="T521">
        <v>20</v>
      </c>
      <c r="U521" s="1">
        <v>0</v>
      </c>
      <c r="V521">
        <v>95.6</v>
      </c>
    </row>
    <row r="522" spans="1:22" ht="15">
      <c r="A522" s="4">
        <v>515</v>
      </c>
      <c r="B522">
        <v>183</v>
      </c>
      <c r="C522" t="s">
        <v>1305</v>
      </c>
      <c r="D522" t="s">
        <v>179</v>
      </c>
      <c r="E522" t="s">
        <v>1306</v>
      </c>
      <c r="F522" t="s">
        <v>1307</v>
      </c>
      <c r="G522" t="str">
        <f>"00532118"</f>
        <v>00532118</v>
      </c>
      <c r="H522">
        <v>57.6</v>
      </c>
      <c r="I522">
        <v>0</v>
      </c>
      <c r="L522">
        <v>4</v>
      </c>
      <c r="M522">
        <v>4</v>
      </c>
      <c r="N522">
        <v>4</v>
      </c>
      <c r="O522">
        <v>0</v>
      </c>
      <c r="P522">
        <v>65.6</v>
      </c>
      <c r="Q522">
        <v>27</v>
      </c>
      <c r="R522">
        <v>27</v>
      </c>
      <c r="S522">
        <v>3</v>
      </c>
      <c r="T522">
        <v>0</v>
      </c>
      <c r="U522" s="1">
        <v>0</v>
      </c>
      <c r="V522">
        <v>95.6</v>
      </c>
    </row>
    <row r="523" spans="1:22" ht="15">
      <c r="A523" s="4">
        <v>516</v>
      </c>
      <c r="B523">
        <v>964</v>
      </c>
      <c r="C523" t="s">
        <v>1308</v>
      </c>
      <c r="D523" t="s">
        <v>68</v>
      </c>
      <c r="E523" t="s">
        <v>51</v>
      </c>
      <c r="F523" t="s">
        <v>1309</v>
      </c>
      <c r="G523" t="str">
        <f>"00499175"</f>
        <v>00499175</v>
      </c>
      <c r="H523">
        <v>50.4</v>
      </c>
      <c r="I523">
        <v>0</v>
      </c>
      <c r="J523">
        <v>8</v>
      </c>
      <c r="M523">
        <v>4</v>
      </c>
      <c r="N523">
        <v>8</v>
      </c>
      <c r="O523">
        <v>0</v>
      </c>
      <c r="P523">
        <v>62.4</v>
      </c>
      <c r="Q523">
        <v>33</v>
      </c>
      <c r="R523">
        <v>33</v>
      </c>
      <c r="S523">
        <v>0</v>
      </c>
      <c r="T523">
        <v>0</v>
      </c>
      <c r="U523" s="1">
        <v>0</v>
      </c>
      <c r="V523">
        <v>95.4</v>
      </c>
    </row>
    <row r="524" spans="1:22" ht="15">
      <c r="A524" s="4">
        <v>517</v>
      </c>
      <c r="B524">
        <v>149</v>
      </c>
      <c r="C524" t="s">
        <v>1310</v>
      </c>
      <c r="D524" t="s">
        <v>1311</v>
      </c>
      <c r="E524" t="s">
        <v>23</v>
      </c>
      <c r="F524" t="s">
        <v>1312</v>
      </c>
      <c r="G524" t="str">
        <f>"00504116"</f>
        <v>00504116</v>
      </c>
      <c r="H524">
        <v>50.4</v>
      </c>
      <c r="I524">
        <v>0</v>
      </c>
      <c r="K524">
        <v>6</v>
      </c>
      <c r="L524">
        <v>4</v>
      </c>
      <c r="M524">
        <v>4</v>
      </c>
      <c r="N524">
        <v>10</v>
      </c>
      <c r="O524">
        <v>0</v>
      </c>
      <c r="P524">
        <v>64.4</v>
      </c>
      <c r="Q524">
        <v>31</v>
      </c>
      <c r="R524">
        <v>31</v>
      </c>
      <c r="S524">
        <v>0</v>
      </c>
      <c r="T524">
        <v>0</v>
      </c>
      <c r="U524" s="1">
        <v>0</v>
      </c>
      <c r="V524">
        <v>95.4</v>
      </c>
    </row>
    <row r="525" spans="1:22" ht="15">
      <c r="A525" s="4">
        <v>518</v>
      </c>
      <c r="B525">
        <v>836</v>
      </c>
      <c r="C525" t="s">
        <v>725</v>
      </c>
      <c r="D525" t="s">
        <v>14</v>
      </c>
      <c r="E525" t="s">
        <v>190</v>
      </c>
      <c r="F525" t="s">
        <v>1313</v>
      </c>
      <c r="G525" t="str">
        <f>"00480020"</f>
        <v>00480020</v>
      </c>
      <c r="H525">
        <v>50.4</v>
      </c>
      <c r="I525">
        <v>0</v>
      </c>
      <c r="L525">
        <v>4</v>
      </c>
      <c r="M525">
        <v>4</v>
      </c>
      <c r="N525">
        <v>4</v>
      </c>
      <c r="O525">
        <v>0</v>
      </c>
      <c r="P525">
        <v>58.4</v>
      </c>
      <c r="Q525">
        <v>34</v>
      </c>
      <c r="R525">
        <v>34</v>
      </c>
      <c r="S525">
        <v>3</v>
      </c>
      <c r="T525">
        <v>0</v>
      </c>
      <c r="U525" s="1">
        <v>0</v>
      </c>
      <c r="V525">
        <v>95.4</v>
      </c>
    </row>
    <row r="526" spans="1:22" ht="15">
      <c r="A526" s="4">
        <v>519</v>
      </c>
      <c r="B526">
        <v>969</v>
      </c>
      <c r="C526" t="s">
        <v>1314</v>
      </c>
      <c r="D526" t="s">
        <v>14</v>
      </c>
      <c r="E526" t="s">
        <v>327</v>
      </c>
      <c r="F526" t="s">
        <v>1315</v>
      </c>
      <c r="G526" t="str">
        <f>"00501104"</f>
        <v>00501104</v>
      </c>
      <c r="H526">
        <v>50.4</v>
      </c>
      <c r="I526">
        <v>0</v>
      </c>
      <c r="J526">
        <v>8</v>
      </c>
      <c r="M526">
        <v>4</v>
      </c>
      <c r="N526">
        <v>8</v>
      </c>
      <c r="O526">
        <v>0</v>
      </c>
      <c r="P526">
        <v>62.4</v>
      </c>
      <c r="Q526">
        <v>33</v>
      </c>
      <c r="R526">
        <v>33</v>
      </c>
      <c r="S526">
        <v>0</v>
      </c>
      <c r="T526">
        <v>0</v>
      </c>
      <c r="U526" s="1">
        <v>0</v>
      </c>
      <c r="V526">
        <v>95.4</v>
      </c>
    </row>
    <row r="527" spans="1:22" ht="15">
      <c r="A527" s="4">
        <v>520</v>
      </c>
      <c r="B527">
        <v>1562</v>
      </c>
      <c r="C527" t="s">
        <v>1316</v>
      </c>
      <c r="D527" t="s">
        <v>14</v>
      </c>
      <c r="E527" t="s">
        <v>90</v>
      </c>
      <c r="F527" t="s">
        <v>1317</v>
      </c>
      <c r="G527" t="str">
        <f>"00510962"</f>
        <v>00510962</v>
      </c>
      <c r="H527">
        <v>36</v>
      </c>
      <c r="I527">
        <v>10</v>
      </c>
      <c r="M527">
        <v>4</v>
      </c>
      <c r="N527">
        <v>0</v>
      </c>
      <c r="O527">
        <v>0</v>
      </c>
      <c r="P527">
        <v>50</v>
      </c>
      <c r="Q527">
        <v>42</v>
      </c>
      <c r="R527">
        <v>42</v>
      </c>
      <c r="S527">
        <v>3</v>
      </c>
      <c r="T527">
        <v>0</v>
      </c>
      <c r="U527" s="1">
        <v>0</v>
      </c>
      <c r="V527">
        <v>95</v>
      </c>
    </row>
    <row r="528" spans="1:22" ht="15">
      <c r="A528" s="4">
        <v>521</v>
      </c>
      <c r="B528">
        <v>2713</v>
      </c>
      <c r="C528" t="s">
        <v>1318</v>
      </c>
      <c r="D528" t="s">
        <v>14</v>
      </c>
      <c r="E528" t="s">
        <v>73</v>
      </c>
      <c r="F528" t="s">
        <v>1319</v>
      </c>
      <c r="G528" t="str">
        <f>"200712003431"</f>
        <v>200712003431</v>
      </c>
      <c r="H528">
        <v>40</v>
      </c>
      <c r="I528">
        <v>10</v>
      </c>
      <c r="L528">
        <v>4</v>
      </c>
      <c r="M528">
        <v>4</v>
      </c>
      <c r="N528">
        <v>4</v>
      </c>
      <c r="O528">
        <v>0</v>
      </c>
      <c r="P528">
        <v>58</v>
      </c>
      <c r="Q528">
        <v>31</v>
      </c>
      <c r="R528">
        <v>31</v>
      </c>
      <c r="S528">
        <v>6</v>
      </c>
      <c r="T528">
        <v>0</v>
      </c>
      <c r="U528" s="1">
        <v>0</v>
      </c>
      <c r="V528">
        <v>95</v>
      </c>
    </row>
    <row r="529" spans="1:22" ht="15">
      <c r="A529" s="4">
        <v>522</v>
      </c>
      <c r="B529">
        <v>1094</v>
      </c>
      <c r="C529" t="s">
        <v>1320</v>
      </c>
      <c r="D529" t="s">
        <v>298</v>
      </c>
      <c r="E529" t="s">
        <v>472</v>
      </c>
      <c r="F529" t="s">
        <v>1321</v>
      </c>
      <c r="G529" t="str">
        <f>"00442052"</f>
        <v>00442052</v>
      </c>
      <c r="H529">
        <v>36</v>
      </c>
      <c r="I529">
        <v>0</v>
      </c>
      <c r="M529">
        <v>4</v>
      </c>
      <c r="N529">
        <v>0</v>
      </c>
      <c r="O529">
        <v>0</v>
      </c>
      <c r="P529">
        <v>40</v>
      </c>
      <c r="Q529">
        <v>49</v>
      </c>
      <c r="R529">
        <v>49</v>
      </c>
      <c r="S529">
        <v>6</v>
      </c>
      <c r="T529">
        <v>0</v>
      </c>
      <c r="U529" s="1">
        <v>0</v>
      </c>
      <c r="V529">
        <v>95</v>
      </c>
    </row>
    <row r="530" spans="1:22" ht="15">
      <c r="A530" s="4">
        <v>523</v>
      </c>
      <c r="B530">
        <v>1584</v>
      </c>
      <c r="C530" t="s">
        <v>1322</v>
      </c>
      <c r="D530" t="s">
        <v>697</v>
      </c>
      <c r="E530" t="s">
        <v>30</v>
      </c>
      <c r="F530" t="s">
        <v>1323</v>
      </c>
      <c r="G530" t="str">
        <f>"00488167"</f>
        <v>00488167</v>
      </c>
      <c r="H530">
        <v>36</v>
      </c>
      <c r="I530">
        <v>10</v>
      </c>
      <c r="M530">
        <v>4</v>
      </c>
      <c r="N530">
        <v>0</v>
      </c>
      <c r="O530">
        <v>0</v>
      </c>
      <c r="P530">
        <v>50</v>
      </c>
      <c r="Q530">
        <v>45</v>
      </c>
      <c r="R530">
        <v>45</v>
      </c>
      <c r="S530">
        <v>0</v>
      </c>
      <c r="T530">
        <v>0</v>
      </c>
      <c r="U530" s="1">
        <v>0</v>
      </c>
      <c r="V530">
        <v>95</v>
      </c>
    </row>
    <row r="531" spans="1:22" ht="15">
      <c r="A531" s="4">
        <v>524</v>
      </c>
      <c r="B531">
        <v>1025</v>
      </c>
      <c r="C531" t="s">
        <v>1324</v>
      </c>
      <c r="D531" t="s">
        <v>40</v>
      </c>
      <c r="E531" t="s">
        <v>403</v>
      </c>
      <c r="F531" t="s">
        <v>1325</v>
      </c>
      <c r="G531" t="str">
        <f>"00441548"</f>
        <v>00441548</v>
      </c>
      <c r="H531">
        <v>36.84</v>
      </c>
      <c r="I531">
        <v>10</v>
      </c>
      <c r="L531">
        <v>4</v>
      </c>
      <c r="M531">
        <v>4</v>
      </c>
      <c r="N531">
        <v>4</v>
      </c>
      <c r="O531">
        <v>0</v>
      </c>
      <c r="P531">
        <v>54.84</v>
      </c>
      <c r="Q531">
        <v>34</v>
      </c>
      <c r="R531">
        <v>34</v>
      </c>
      <c r="S531">
        <v>6</v>
      </c>
      <c r="T531">
        <v>0</v>
      </c>
      <c r="U531" s="1">
        <v>0</v>
      </c>
      <c r="V531">
        <v>94.84</v>
      </c>
    </row>
    <row r="532" spans="1:22" ht="15">
      <c r="A532" s="4">
        <v>525</v>
      </c>
      <c r="B532">
        <v>648</v>
      </c>
      <c r="C532" t="s">
        <v>1326</v>
      </c>
      <c r="D532" t="s">
        <v>82</v>
      </c>
      <c r="E532" t="s">
        <v>1327</v>
      </c>
      <c r="F532" t="s">
        <v>1328</v>
      </c>
      <c r="G532" t="str">
        <f>"00514450"</f>
        <v>00514450</v>
      </c>
      <c r="H532">
        <v>50.4</v>
      </c>
      <c r="I532">
        <v>0</v>
      </c>
      <c r="M532">
        <v>4</v>
      </c>
      <c r="N532">
        <v>0</v>
      </c>
      <c r="O532">
        <v>0</v>
      </c>
      <c r="P532">
        <v>54.4</v>
      </c>
      <c r="Q532">
        <v>40</v>
      </c>
      <c r="R532">
        <v>40</v>
      </c>
      <c r="S532">
        <v>0</v>
      </c>
      <c r="T532">
        <v>0</v>
      </c>
      <c r="U532" s="1">
        <v>0</v>
      </c>
      <c r="V532">
        <v>94.4</v>
      </c>
    </row>
    <row r="533" spans="1:22" ht="15">
      <c r="A533" s="4">
        <v>526</v>
      </c>
      <c r="B533">
        <v>1732</v>
      </c>
      <c r="C533" t="s">
        <v>1329</v>
      </c>
      <c r="D533" t="s">
        <v>480</v>
      </c>
      <c r="E533" t="s">
        <v>11</v>
      </c>
      <c r="F533">
        <v>698623</v>
      </c>
      <c r="G533" t="str">
        <f>"00148094"</f>
        <v>00148094</v>
      </c>
      <c r="H533">
        <v>50.4</v>
      </c>
      <c r="I533">
        <v>0</v>
      </c>
      <c r="L533">
        <v>4</v>
      </c>
      <c r="M533">
        <v>4</v>
      </c>
      <c r="N533">
        <v>4</v>
      </c>
      <c r="O533">
        <v>0</v>
      </c>
      <c r="P533">
        <v>58.4</v>
      </c>
      <c r="Q533">
        <v>33</v>
      </c>
      <c r="R533">
        <v>33</v>
      </c>
      <c r="S533">
        <v>3</v>
      </c>
      <c r="T533">
        <v>0</v>
      </c>
      <c r="U533" s="1">
        <v>0</v>
      </c>
      <c r="V533">
        <v>94.4</v>
      </c>
    </row>
    <row r="534" spans="1:22" ht="15">
      <c r="A534" s="4">
        <v>527</v>
      </c>
      <c r="B534">
        <v>440</v>
      </c>
      <c r="C534" t="s">
        <v>701</v>
      </c>
      <c r="D534" t="s">
        <v>971</v>
      </c>
      <c r="E534" t="s">
        <v>295</v>
      </c>
      <c r="F534" t="s">
        <v>1330</v>
      </c>
      <c r="G534" t="str">
        <f>"00110717"</f>
        <v>00110717</v>
      </c>
      <c r="H534">
        <v>36</v>
      </c>
      <c r="I534">
        <v>0</v>
      </c>
      <c r="M534">
        <v>4</v>
      </c>
      <c r="N534">
        <v>0</v>
      </c>
      <c r="O534">
        <v>0</v>
      </c>
      <c r="P534">
        <v>40</v>
      </c>
      <c r="Q534">
        <v>54</v>
      </c>
      <c r="R534">
        <v>54</v>
      </c>
      <c r="S534">
        <v>0</v>
      </c>
      <c r="T534">
        <v>0</v>
      </c>
      <c r="U534" s="1">
        <v>0</v>
      </c>
      <c r="V534">
        <v>94</v>
      </c>
    </row>
    <row r="535" spans="1:22" ht="15">
      <c r="A535" s="4">
        <v>528</v>
      </c>
      <c r="B535">
        <v>913</v>
      </c>
      <c r="C535" t="s">
        <v>533</v>
      </c>
      <c r="D535" t="s">
        <v>58</v>
      </c>
      <c r="E535" t="s">
        <v>90</v>
      </c>
      <c r="F535" t="s">
        <v>1331</v>
      </c>
      <c r="G535" t="str">
        <f>"00482802"</f>
        <v>00482802</v>
      </c>
      <c r="H535">
        <v>72</v>
      </c>
      <c r="I535">
        <v>10</v>
      </c>
      <c r="M535">
        <v>4</v>
      </c>
      <c r="N535">
        <v>0</v>
      </c>
      <c r="O535">
        <v>0</v>
      </c>
      <c r="P535">
        <v>86</v>
      </c>
      <c r="Q535">
        <v>8</v>
      </c>
      <c r="R535">
        <v>8</v>
      </c>
      <c r="S535">
        <v>0</v>
      </c>
      <c r="T535">
        <v>0</v>
      </c>
      <c r="U535" s="1">
        <v>0</v>
      </c>
      <c r="V535">
        <v>94</v>
      </c>
    </row>
    <row r="536" spans="1:22" ht="15">
      <c r="A536" s="4">
        <v>529</v>
      </c>
      <c r="B536">
        <v>1745</v>
      </c>
      <c r="C536" t="s">
        <v>1332</v>
      </c>
      <c r="D536" t="s">
        <v>121</v>
      </c>
      <c r="E536" t="s">
        <v>19</v>
      </c>
      <c r="F536" t="s">
        <v>1333</v>
      </c>
      <c r="G536" t="str">
        <f>"00480740"</f>
        <v>00480740</v>
      </c>
      <c r="H536">
        <v>36</v>
      </c>
      <c r="I536">
        <v>0</v>
      </c>
      <c r="M536">
        <v>4</v>
      </c>
      <c r="N536">
        <v>0</v>
      </c>
      <c r="O536">
        <v>0</v>
      </c>
      <c r="P536">
        <v>40</v>
      </c>
      <c r="Q536">
        <v>14</v>
      </c>
      <c r="R536">
        <v>14</v>
      </c>
      <c r="S536">
        <v>6</v>
      </c>
      <c r="T536">
        <v>34</v>
      </c>
      <c r="U536" s="1">
        <v>0</v>
      </c>
      <c r="V536">
        <v>94</v>
      </c>
    </row>
    <row r="537" spans="1:22" ht="15">
      <c r="A537" s="4">
        <v>530</v>
      </c>
      <c r="B537">
        <v>868</v>
      </c>
      <c r="C537" t="s">
        <v>1334</v>
      </c>
      <c r="D537" t="s">
        <v>643</v>
      </c>
      <c r="E537" t="s">
        <v>1335</v>
      </c>
      <c r="F537" t="s">
        <v>1336</v>
      </c>
      <c r="G537" t="str">
        <f>"00527972"</f>
        <v>00527972</v>
      </c>
      <c r="H537">
        <v>36</v>
      </c>
      <c r="I537">
        <v>0</v>
      </c>
      <c r="M537">
        <v>0</v>
      </c>
      <c r="N537">
        <v>0</v>
      </c>
      <c r="O537">
        <v>0</v>
      </c>
      <c r="P537">
        <v>36</v>
      </c>
      <c r="Q537">
        <v>52</v>
      </c>
      <c r="R537">
        <v>52</v>
      </c>
      <c r="S537">
        <v>6</v>
      </c>
      <c r="T537">
        <v>0</v>
      </c>
      <c r="U537" s="1">
        <v>0</v>
      </c>
      <c r="V537">
        <v>94</v>
      </c>
    </row>
    <row r="538" spans="1:22" ht="15">
      <c r="A538" s="4">
        <v>531</v>
      </c>
      <c r="B538">
        <v>2202</v>
      </c>
      <c r="C538" t="s">
        <v>1337</v>
      </c>
      <c r="D538" t="s">
        <v>14</v>
      </c>
      <c r="E538" t="s">
        <v>1338</v>
      </c>
      <c r="F538" t="s">
        <v>1339</v>
      </c>
      <c r="G538" t="str">
        <f>"00532288"</f>
        <v>00532288</v>
      </c>
      <c r="H538">
        <v>26.92</v>
      </c>
      <c r="I538">
        <v>10</v>
      </c>
      <c r="L538">
        <v>4</v>
      </c>
      <c r="M538">
        <v>0</v>
      </c>
      <c r="N538">
        <v>4</v>
      </c>
      <c r="O538">
        <v>0</v>
      </c>
      <c r="P538">
        <v>40.92</v>
      </c>
      <c r="Q538">
        <v>50</v>
      </c>
      <c r="R538">
        <v>50</v>
      </c>
      <c r="S538">
        <v>3</v>
      </c>
      <c r="T538">
        <v>0</v>
      </c>
      <c r="U538" s="1">
        <v>0</v>
      </c>
      <c r="V538">
        <v>93.92</v>
      </c>
    </row>
    <row r="539" spans="1:22" ht="15">
      <c r="A539" s="4">
        <v>532</v>
      </c>
      <c r="B539">
        <v>1804</v>
      </c>
      <c r="C539" t="s">
        <v>1340</v>
      </c>
      <c r="D539" t="s">
        <v>280</v>
      </c>
      <c r="E539" t="s">
        <v>225</v>
      </c>
      <c r="F539" t="s">
        <v>1341</v>
      </c>
      <c r="G539" t="str">
        <f>"00479920"</f>
        <v>00479920</v>
      </c>
      <c r="H539">
        <v>64.8</v>
      </c>
      <c r="I539">
        <v>0</v>
      </c>
      <c r="L539">
        <v>4</v>
      </c>
      <c r="M539">
        <v>0</v>
      </c>
      <c r="N539">
        <v>4</v>
      </c>
      <c r="O539">
        <v>0</v>
      </c>
      <c r="P539">
        <v>68.8</v>
      </c>
      <c r="Q539">
        <v>25</v>
      </c>
      <c r="R539">
        <v>25</v>
      </c>
      <c r="S539">
        <v>0</v>
      </c>
      <c r="T539">
        <v>0</v>
      </c>
      <c r="U539" s="1">
        <v>0</v>
      </c>
      <c r="V539">
        <v>93.8</v>
      </c>
    </row>
    <row r="540" spans="1:22" ht="15">
      <c r="A540" s="4">
        <v>533</v>
      </c>
      <c r="B540">
        <v>2714</v>
      </c>
      <c r="C540" t="s">
        <v>1342</v>
      </c>
      <c r="D540" t="s">
        <v>211</v>
      </c>
      <c r="E540" t="s">
        <v>1343</v>
      </c>
      <c r="F540" t="s">
        <v>1344</v>
      </c>
      <c r="G540" t="str">
        <f>"00530466"</f>
        <v>00530466</v>
      </c>
      <c r="H540">
        <v>28.8</v>
      </c>
      <c r="I540">
        <v>10</v>
      </c>
      <c r="M540">
        <v>4</v>
      </c>
      <c r="N540">
        <v>0</v>
      </c>
      <c r="O540">
        <v>0</v>
      </c>
      <c r="P540">
        <v>42.8</v>
      </c>
      <c r="Q540">
        <v>48</v>
      </c>
      <c r="R540">
        <v>48</v>
      </c>
      <c r="S540">
        <v>3</v>
      </c>
      <c r="T540">
        <v>0</v>
      </c>
      <c r="U540" s="1">
        <v>0</v>
      </c>
      <c r="V540">
        <v>93.8</v>
      </c>
    </row>
    <row r="541" spans="1:22" ht="15">
      <c r="A541" s="4">
        <v>534</v>
      </c>
      <c r="B541">
        <v>3336</v>
      </c>
      <c r="C541" t="s">
        <v>1345</v>
      </c>
      <c r="D541" t="s">
        <v>1346</v>
      </c>
      <c r="E541" t="s">
        <v>23</v>
      </c>
      <c r="F541" t="s">
        <v>1347</v>
      </c>
      <c r="G541" t="str">
        <f>"00492719"</f>
        <v>00492719</v>
      </c>
      <c r="H541">
        <v>64.8</v>
      </c>
      <c r="I541">
        <v>0</v>
      </c>
      <c r="M541">
        <v>4</v>
      </c>
      <c r="N541">
        <v>0</v>
      </c>
      <c r="O541">
        <v>0</v>
      </c>
      <c r="P541">
        <v>68.8</v>
      </c>
      <c r="Q541">
        <v>25</v>
      </c>
      <c r="R541">
        <v>25</v>
      </c>
      <c r="S541">
        <v>0</v>
      </c>
      <c r="T541">
        <v>0</v>
      </c>
      <c r="U541" s="1">
        <v>0</v>
      </c>
      <c r="V541">
        <v>93.8</v>
      </c>
    </row>
    <row r="542" spans="1:22" ht="15">
      <c r="A542" s="4">
        <v>535</v>
      </c>
      <c r="B542">
        <v>10</v>
      </c>
      <c r="C542" t="s">
        <v>1348</v>
      </c>
      <c r="D542" t="s">
        <v>19</v>
      </c>
      <c r="E542" t="s">
        <v>90</v>
      </c>
      <c r="F542" t="s">
        <v>1349</v>
      </c>
      <c r="G542" t="str">
        <f>"00096147"</f>
        <v>00096147</v>
      </c>
      <c r="H542">
        <v>29.76</v>
      </c>
      <c r="I542">
        <v>10</v>
      </c>
      <c r="M542">
        <v>0</v>
      </c>
      <c r="N542">
        <v>0</v>
      </c>
      <c r="O542">
        <v>0</v>
      </c>
      <c r="P542">
        <v>39.76</v>
      </c>
      <c r="Q542">
        <v>54</v>
      </c>
      <c r="R542">
        <v>54</v>
      </c>
      <c r="S542">
        <v>0</v>
      </c>
      <c r="T542">
        <v>0</v>
      </c>
      <c r="U542" s="1">
        <v>0</v>
      </c>
      <c r="V542">
        <v>93.76</v>
      </c>
    </row>
    <row r="543" spans="1:22" ht="15">
      <c r="A543" s="4">
        <v>536</v>
      </c>
      <c r="B543">
        <v>3337</v>
      </c>
      <c r="C543" t="s">
        <v>1350</v>
      </c>
      <c r="D543" t="s">
        <v>1346</v>
      </c>
      <c r="E543" t="s">
        <v>59</v>
      </c>
      <c r="F543" t="s">
        <v>1351</v>
      </c>
      <c r="G543" t="str">
        <f>"00530129"</f>
        <v>00530129</v>
      </c>
      <c r="H543">
        <v>23.72</v>
      </c>
      <c r="I543">
        <v>0</v>
      </c>
      <c r="M543">
        <v>0</v>
      </c>
      <c r="N543">
        <v>0</v>
      </c>
      <c r="O543">
        <v>0</v>
      </c>
      <c r="P543">
        <v>23.72</v>
      </c>
      <c r="Q543">
        <v>70</v>
      </c>
      <c r="R543">
        <v>70</v>
      </c>
      <c r="S543">
        <v>0</v>
      </c>
      <c r="T543">
        <v>0</v>
      </c>
      <c r="U543" s="1">
        <v>0</v>
      </c>
      <c r="V543">
        <v>93.72</v>
      </c>
    </row>
    <row r="544" spans="1:22" ht="15">
      <c r="A544" s="4">
        <v>537</v>
      </c>
      <c r="B544">
        <v>2363</v>
      </c>
      <c r="C544" t="s">
        <v>1352</v>
      </c>
      <c r="D544" t="s">
        <v>280</v>
      </c>
      <c r="E544" t="s">
        <v>83</v>
      </c>
      <c r="F544" t="s">
        <v>1353</v>
      </c>
      <c r="G544" t="str">
        <f>"00441872"</f>
        <v>00441872</v>
      </c>
      <c r="H544">
        <v>21.6</v>
      </c>
      <c r="I544">
        <v>0</v>
      </c>
      <c r="M544">
        <v>4</v>
      </c>
      <c r="N544">
        <v>0</v>
      </c>
      <c r="O544">
        <v>0</v>
      </c>
      <c r="P544">
        <v>25.6</v>
      </c>
      <c r="Q544">
        <v>68</v>
      </c>
      <c r="R544">
        <v>68</v>
      </c>
      <c r="S544">
        <v>0</v>
      </c>
      <c r="T544">
        <v>0</v>
      </c>
      <c r="U544" s="1">
        <v>0</v>
      </c>
      <c r="V544">
        <v>93.6</v>
      </c>
    </row>
    <row r="545" spans="1:22" ht="15">
      <c r="A545" s="4">
        <v>538</v>
      </c>
      <c r="B545">
        <v>3165</v>
      </c>
      <c r="C545" t="s">
        <v>96</v>
      </c>
      <c r="D545" t="s">
        <v>280</v>
      </c>
      <c r="E545" t="s">
        <v>403</v>
      </c>
      <c r="F545" t="s">
        <v>1354</v>
      </c>
      <c r="G545" t="str">
        <f>"201512003622"</f>
        <v>201512003622</v>
      </c>
      <c r="H545">
        <v>57.6</v>
      </c>
      <c r="I545">
        <v>10</v>
      </c>
      <c r="L545">
        <v>4</v>
      </c>
      <c r="M545">
        <v>4</v>
      </c>
      <c r="N545">
        <v>4</v>
      </c>
      <c r="O545">
        <v>0</v>
      </c>
      <c r="P545">
        <v>75.6</v>
      </c>
      <c r="Q545">
        <v>18</v>
      </c>
      <c r="R545">
        <v>18</v>
      </c>
      <c r="S545">
        <v>0</v>
      </c>
      <c r="T545">
        <v>0</v>
      </c>
      <c r="U545" s="1">
        <v>0</v>
      </c>
      <c r="V545">
        <v>93.6</v>
      </c>
    </row>
    <row r="546" spans="1:22" ht="15">
      <c r="A546" s="4">
        <v>539</v>
      </c>
      <c r="B546">
        <v>1677</v>
      </c>
      <c r="C546" t="s">
        <v>1355</v>
      </c>
      <c r="D546" t="s">
        <v>173</v>
      </c>
      <c r="E546" t="s">
        <v>69</v>
      </c>
      <c r="F546" t="s">
        <v>1356</v>
      </c>
      <c r="G546" t="str">
        <f>"00530816"</f>
        <v>00530816</v>
      </c>
      <c r="H546">
        <v>21.6</v>
      </c>
      <c r="I546">
        <v>0</v>
      </c>
      <c r="M546">
        <v>4</v>
      </c>
      <c r="N546">
        <v>0</v>
      </c>
      <c r="O546">
        <v>0</v>
      </c>
      <c r="P546">
        <v>25.6</v>
      </c>
      <c r="Q546">
        <v>59</v>
      </c>
      <c r="R546">
        <v>59</v>
      </c>
      <c r="S546">
        <v>9</v>
      </c>
      <c r="T546">
        <v>0</v>
      </c>
      <c r="U546" s="1">
        <v>0</v>
      </c>
      <c r="V546">
        <v>93.6</v>
      </c>
    </row>
    <row r="547" spans="1:22" ht="15">
      <c r="A547" s="4">
        <v>540</v>
      </c>
      <c r="B547">
        <v>1077</v>
      </c>
      <c r="C547" t="s">
        <v>1357</v>
      </c>
      <c r="D547" t="s">
        <v>50</v>
      </c>
      <c r="E547" t="s">
        <v>358</v>
      </c>
      <c r="F547" t="s">
        <v>1358</v>
      </c>
      <c r="G547" t="str">
        <f>"00531222"</f>
        <v>00531222</v>
      </c>
      <c r="H547">
        <v>35.44</v>
      </c>
      <c r="I547">
        <v>10</v>
      </c>
      <c r="M547">
        <v>4</v>
      </c>
      <c r="N547">
        <v>0</v>
      </c>
      <c r="O547">
        <v>0</v>
      </c>
      <c r="P547">
        <v>49.44</v>
      </c>
      <c r="Q547">
        <v>35</v>
      </c>
      <c r="R547">
        <v>35</v>
      </c>
      <c r="S547">
        <v>9</v>
      </c>
      <c r="T547">
        <v>0</v>
      </c>
      <c r="U547" s="1">
        <v>0</v>
      </c>
      <c r="V547">
        <v>93.44</v>
      </c>
    </row>
    <row r="548" spans="1:22" ht="15">
      <c r="A548" s="4">
        <v>541</v>
      </c>
      <c r="B548">
        <v>1008</v>
      </c>
      <c r="C548" t="s">
        <v>1359</v>
      </c>
      <c r="D548" t="s">
        <v>477</v>
      </c>
      <c r="E548" t="s">
        <v>167</v>
      </c>
      <c r="F548" t="s">
        <v>1360</v>
      </c>
      <c r="G548" t="str">
        <f>"00508104"</f>
        <v>00508104</v>
      </c>
      <c r="H548">
        <v>50.4</v>
      </c>
      <c r="I548">
        <v>0</v>
      </c>
      <c r="L548">
        <v>4</v>
      </c>
      <c r="M548">
        <v>4</v>
      </c>
      <c r="N548">
        <v>4</v>
      </c>
      <c r="O548">
        <v>0</v>
      </c>
      <c r="P548">
        <v>58.4</v>
      </c>
      <c r="Q548">
        <v>32</v>
      </c>
      <c r="R548">
        <v>32</v>
      </c>
      <c r="S548">
        <v>3</v>
      </c>
      <c r="T548">
        <v>0</v>
      </c>
      <c r="U548" s="1">
        <v>0</v>
      </c>
      <c r="V548">
        <v>93.4</v>
      </c>
    </row>
    <row r="549" spans="1:22" ht="15">
      <c r="A549" s="4">
        <v>542</v>
      </c>
      <c r="B549">
        <v>1310</v>
      </c>
      <c r="C549" t="s">
        <v>986</v>
      </c>
      <c r="D549" t="s">
        <v>1361</v>
      </c>
      <c r="E549" t="s">
        <v>59</v>
      </c>
      <c r="F549" t="s">
        <v>1362</v>
      </c>
      <c r="G549" t="str">
        <f>"00113308"</f>
        <v>00113308</v>
      </c>
      <c r="H549">
        <v>50.4</v>
      </c>
      <c r="I549">
        <v>0</v>
      </c>
      <c r="J549">
        <v>8</v>
      </c>
      <c r="L549">
        <v>4</v>
      </c>
      <c r="M549">
        <v>4</v>
      </c>
      <c r="N549">
        <v>12</v>
      </c>
      <c r="O549">
        <v>2</v>
      </c>
      <c r="P549">
        <v>68.4</v>
      </c>
      <c r="Q549">
        <v>16</v>
      </c>
      <c r="R549">
        <v>16</v>
      </c>
      <c r="S549">
        <v>9</v>
      </c>
      <c r="T549">
        <v>0</v>
      </c>
      <c r="U549" s="1">
        <v>0</v>
      </c>
      <c r="V549">
        <v>93.4</v>
      </c>
    </row>
    <row r="550" spans="1:22" ht="15">
      <c r="A550" s="4">
        <v>543</v>
      </c>
      <c r="B550">
        <v>2704</v>
      </c>
      <c r="C550" t="s">
        <v>1363</v>
      </c>
      <c r="D550" t="s">
        <v>1364</v>
      </c>
      <c r="E550" t="s">
        <v>447</v>
      </c>
      <c r="F550" t="s">
        <v>1365</v>
      </c>
      <c r="G550" t="str">
        <f>"00503748"</f>
        <v>00503748</v>
      </c>
      <c r="H550">
        <v>14.4</v>
      </c>
      <c r="I550">
        <v>0</v>
      </c>
      <c r="J550">
        <v>8</v>
      </c>
      <c r="M550">
        <v>4</v>
      </c>
      <c r="N550">
        <v>8</v>
      </c>
      <c r="O550">
        <v>0</v>
      </c>
      <c r="P550">
        <v>26.4</v>
      </c>
      <c r="Q550">
        <v>61</v>
      </c>
      <c r="R550">
        <v>61</v>
      </c>
      <c r="S550">
        <v>6</v>
      </c>
      <c r="T550">
        <v>0</v>
      </c>
      <c r="U550" s="1">
        <v>0</v>
      </c>
      <c r="V550">
        <v>93.4</v>
      </c>
    </row>
    <row r="551" spans="1:22" ht="15">
      <c r="A551" s="4">
        <v>544</v>
      </c>
      <c r="B551">
        <v>1748</v>
      </c>
      <c r="C551" t="s">
        <v>1366</v>
      </c>
      <c r="D551" t="s">
        <v>280</v>
      </c>
      <c r="E551" t="s">
        <v>83</v>
      </c>
      <c r="F551" t="s">
        <v>1367</v>
      </c>
      <c r="G551" t="str">
        <f>"00516699"</f>
        <v>00516699</v>
      </c>
      <c r="H551">
        <v>50.4</v>
      </c>
      <c r="I551">
        <v>0</v>
      </c>
      <c r="J551">
        <v>8</v>
      </c>
      <c r="M551">
        <v>0</v>
      </c>
      <c r="N551">
        <v>8</v>
      </c>
      <c r="O551">
        <v>2</v>
      </c>
      <c r="P551">
        <v>60.4</v>
      </c>
      <c r="Q551">
        <v>33</v>
      </c>
      <c r="R551">
        <v>33</v>
      </c>
      <c r="S551">
        <v>0</v>
      </c>
      <c r="T551">
        <v>0</v>
      </c>
      <c r="U551" s="1">
        <v>0</v>
      </c>
      <c r="V551">
        <v>93.4</v>
      </c>
    </row>
    <row r="552" spans="1:22" ht="15">
      <c r="A552" s="4">
        <v>545</v>
      </c>
      <c r="B552">
        <v>3033</v>
      </c>
      <c r="C552" t="s">
        <v>1368</v>
      </c>
      <c r="D552" t="s">
        <v>219</v>
      </c>
      <c r="E552" t="s">
        <v>30</v>
      </c>
      <c r="F552" t="s">
        <v>1369</v>
      </c>
      <c r="G552" t="str">
        <f>"00530400"</f>
        <v>00530400</v>
      </c>
      <c r="H552">
        <v>38.2</v>
      </c>
      <c r="I552">
        <v>0</v>
      </c>
      <c r="M552">
        <v>4</v>
      </c>
      <c r="N552">
        <v>0</v>
      </c>
      <c r="O552">
        <v>0</v>
      </c>
      <c r="P552">
        <v>42.2</v>
      </c>
      <c r="Q552">
        <v>51</v>
      </c>
      <c r="R552">
        <v>51</v>
      </c>
      <c r="S552">
        <v>0</v>
      </c>
      <c r="T552">
        <v>0</v>
      </c>
      <c r="U552" s="1">
        <v>0</v>
      </c>
      <c r="V552">
        <v>93.2</v>
      </c>
    </row>
    <row r="553" spans="1:22" ht="15">
      <c r="A553" s="4">
        <v>546</v>
      </c>
      <c r="B553">
        <v>2320</v>
      </c>
      <c r="C553" t="s">
        <v>1370</v>
      </c>
      <c r="D553" t="s">
        <v>1371</v>
      </c>
      <c r="E553" t="s">
        <v>90</v>
      </c>
      <c r="F553" t="s">
        <v>1372</v>
      </c>
      <c r="G553" t="str">
        <f>"00498596"</f>
        <v>00498596</v>
      </c>
      <c r="H553">
        <v>27.28</v>
      </c>
      <c r="I553">
        <v>0</v>
      </c>
      <c r="M553">
        <v>4</v>
      </c>
      <c r="N553">
        <v>0</v>
      </c>
      <c r="O553">
        <v>0</v>
      </c>
      <c r="P553">
        <v>31.28</v>
      </c>
      <c r="Q553">
        <v>32</v>
      </c>
      <c r="R553">
        <v>32</v>
      </c>
      <c r="S553">
        <v>3</v>
      </c>
      <c r="T553">
        <v>26.8</v>
      </c>
      <c r="U553" s="1">
        <v>0</v>
      </c>
      <c r="V553">
        <v>93.08</v>
      </c>
    </row>
    <row r="554" spans="1:22" ht="15">
      <c r="A554" s="4">
        <v>547</v>
      </c>
      <c r="B554">
        <v>339</v>
      </c>
      <c r="C554" t="s">
        <v>1373</v>
      </c>
      <c r="D554" t="s">
        <v>485</v>
      </c>
      <c r="E554" t="s">
        <v>90</v>
      </c>
      <c r="F554" t="s">
        <v>1374</v>
      </c>
      <c r="G554" t="str">
        <f>"201412001855"</f>
        <v>201412001855</v>
      </c>
      <c r="H554">
        <v>32</v>
      </c>
      <c r="I554">
        <v>0</v>
      </c>
      <c r="L554">
        <v>8</v>
      </c>
      <c r="M554">
        <v>4</v>
      </c>
      <c r="N554">
        <v>8</v>
      </c>
      <c r="O554">
        <v>0</v>
      </c>
      <c r="P554">
        <v>44</v>
      </c>
      <c r="Q554">
        <v>49</v>
      </c>
      <c r="R554">
        <v>49</v>
      </c>
      <c r="S554">
        <v>0</v>
      </c>
      <c r="T554">
        <v>0</v>
      </c>
      <c r="U554" s="1">
        <v>0</v>
      </c>
      <c r="V554">
        <v>93</v>
      </c>
    </row>
    <row r="555" spans="1:22" ht="15">
      <c r="A555" s="4">
        <v>548</v>
      </c>
      <c r="B555">
        <v>991</v>
      </c>
      <c r="C555" t="s">
        <v>1375</v>
      </c>
      <c r="D555" t="s">
        <v>211</v>
      </c>
      <c r="E555" t="s">
        <v>11</v>
      </c>
      <c r="F555" t="s">
        <v>1376</v>
      </c>
      <c r="G555" t="str">
        <f>"00515048"</f>
        <v>00515048</v>
      </c>
      <c r="H555">
        <v>12</v>
      </c>
      <c r="I555">
        <v>0</v>
      </c>
      <c r="M555">
        <v>4</v>
      </c>
      <c r="N555">
        <v>0</v>
      </c>
      <c r="O555">
        <v>0</v>
      </c>
      <c r="P555">
        <v>16</v>
      </c>
      <c r="Q555">
        <v>71</v>
      </c>
      <c r="R555">
        <v>71</v>
      </c>
      <c r="S555">
        <v>6</v>
      </c>
      <c r="T555">
        <v>0</v>
      </c>
      <c r="U555" s="1">
        <v>0</v>
      </c>
      <c r="V555">
        <v>93</v>
      </c>
    </row>
    <row r="556" spans="1:22" ht="15">
      <c r="A556" s="4">
        <v>549</v>
      </c>
      <c r="B556">
        <v>2668</v>
      </c>
      <c r="C556" t="s">
        <v>1377</v>
      </c>
      <c r="D556" t="s">
        <v>1378</v>
      </c>
      <c r="E556" t="s">
        <v>344</v>
      </c>
      <c r="F556" t="s">
        <v>1379</v>
      </c>
      <c r="G556" t="str">
        <f>"00503780"</f>
        <v>00503780</v>
      </c>
      <c r="H556">
        <v>32</v>
      </c>
      <c r="I556">
        <v>10</v>
      </c>
      <c r="M556">
        <v>4</v>
      </c>
      <c r="N556">
        <v>0</v>
      </c>
      <c r="O556">
        <v>0</v>
      </c>
      <c r="P556">
        <v>46</v>
      </c>
      <c r="Q556">
        <v>44</v>
      </c>
      <c r="R556">
        <v>44</v>
      </c>
      <c r="S556">
        <v>3</v>
      </c>
      <c r="T556">
        <v>0</v>
      </c>
      <c r="U556" s="1">
        <v>0</v>
      </c>
      <c r="V556">
        <v>93</v>
      </c>
    </row>
    <row r="557" spans="1:22" ht="15">
      <c r="A557" s="4">
        <v>550</v>
      </c>
      <c r="B557">
        <v>2661</v>
      </c>
      <c r="C557" t="s">
        <v>1380</v>
      </c>
      <c r="D557" t="s">
        <v>453</v>
      </c>
      <c r="E557" t="s">
        <v>73</v>
      </c>
      <c r="F557" t="s">
        <v>1381</v>
      </c>
      <c r="G557" t="str">
        <f>"00030990"</f>
        <v>00030990</v>
      </c>
      <c r="H557">
        <v>72</v>
      </c>
      <c r="I557">
        <v>0</v>
      </c>
      <c r="L557">
        <v>8</v>
      </c>
      <c r="M557">
        <v>4</v>
      </c>
      <c r="N557">
        <v>8</v>
      </c>
      <c r="O557">
        <v>0</v>
      </c>
      <c r="P557">
        <v>84</v>
      </c>
      <c r="Q557">
        <v>0</v>
      </c>
      <c r="R557">
        <v>0</v>
      </c>
      <c r="S557">
        <v>9</v>
      </c>
      <c r="T557">
        <v>0</v>
      </c>
      <c r="U557" s="1">
        <v>0</v>
      </c>
      <c r="V557">
        <v>93</v>
      </c>
    </row>
    <row r="558" spans="1:22" ht="15">
      <c r="A558" s="4">
        <v>551</v>
      </c>
      <c r="B558">
        <v>2641</v>
      </c>
      <c r="C558" t="s">
        <v>1382</v>
      </c>
      <c r="D558" t="s">
        <v>29</v>
      </c>
      <c r="E558" t="s">
        <v>364</v>
      </c>
      <c r="F558" t="s">
        <v>1383</v>
      </c>
      <c r="G558" t="str">
        <f>"00523887"</f>
        <v>00523887</v>
      </c>
      <c r="H558">
        <v>28.8</v>
      </c>
      <c r="I558">
        <v>0</v>
      </c>
      <c r="L558">
        <v>4</v>
      </c>
      <c r="M558">
        <v>4</v>
      </c>
      <c r="N558">
        <v>4</v>
      </c>
      <c r="O558">
        <v>0</v>
      </c>
      <c r="P558">
        <v>36.8</v>
      </c>
      <c r="Q558">
        <v>53</v>
      </c>
      <c r="R558">
        <v>53</v>
      </c>
      <c r="S558">
        <v>3</v>
      </c>
      <c r="T558">
        <v>0</v>
      </c>
      <c r="U558" s="1">
        <v>0</v>
      </c>
      <c r="V558">
        <v>92.8</v>
      </c>
    </row>
    <row r="559" spans="1:22" ht="15">
      <c r="A559" s="4">
        <v>552</v>
      </c>
      <c r="B559">
        <v>1703</v>
      </c>
      <c r="C559" t="s">
        <v>1384</v>
      </c>
      <c r="D559" t="s">
        <v>58</v>
      </c>
      <c r="E559" t="s">
        <v>712</v>
      </c>
      <c r="F559" t="s">
        <v>1385</v>
      </c>
      <c r="G559" t="str">
        <f>"00508510"</f>
        <v>00508510</v>
      </c>
      <c r="H559">
        <v>28.8</v>
      </c>
      <c r="I559">
        <v>0</v>
      </c>
      <c r="L559">
        <v>4</v>
      </c>
      <c r="M559">
        <v>4</v>
      </c>
      <c r="N559">
        <v>4</v>
      </c>
      <c r="O559">
        <v>0</v>
      </c>
      <c r="P559">
        <v>36.8</v>
      </c>
      <c r="Q559">
        <v>50</v>
      </c>
      <c r="R559">
        <v>50</v>
      </c>
      <c r="S559">
        <v>6</v>
      </c>
      <c r="T559">
        <v>0</v>
      </c>
      <c r="U559" s="1">
        <v>0</v>
      </c>
      <c r="V559">
        <v>92.8</v>
      </c>
    </row>
    <row r="560" spans="1:22" ht="15">
      <c r="A560" s="4">
        <v>553</v>
      </c>
      <c r="B560">
        <v>1081</v>
      </c>
      <c r="C560" t="s">
        <v>1386</v>
      </c>
      <c r="D560" t="s">
        <v>189</v>
      </c>
      <c r="E560" t="s">
        <v>47</v>
      </c>
      <c r="F560" t="s">
        <v>1387</v>
      </c>
      <c r="G560" t="str">
        <f>"00517346"</f>
        <v>00517346</v>
      </c>
      <c r="H560">
        <v>28.8</v>
      </c>
      <c r="I560">
        <v>10</v>
      </c>
      <c r="M560">
        <v>4</v>
      </c>
      <c r="N560">
        <v>0</v>
      </c>
      <c r="O560">
        <v>0</v>
      </c>
      <c r="P560">
        <v>42.8</v>
      </c>
      <c r="Q560">
        <v>44</v>
      </c>
      <c r="R560">
        <v>44</v>
      </c>
      <c r="S560">
        <v>6</v>
      </c>
      <c r="T560">
        <v>0</v>
      </c>
      <c r="U560" s="1">
        <v>0</v>
      </c>
      <c r="V560">
        <v>92.8</v>
      </c>
    </row>
    <row r="561" spans="1:22" ht="15">
      <c r="A561" s="4">
        <v>554</v>
      </c>
      <c r="B561">
        <v>714</v>
      </c>
      <c r="C561" t="s">
        <v>1388</v>
      </c>
      <c r="D561" t="s">
        <v>582</v>
      </c>
      <c r="E561" t="s">
        <v>19</v>
      </c>
      <c r="F561" t="s">
        <v>1389</v>
      </c>
      <c r="G561" t="str">
        <f>"00151941"</f>
        <v>00151941</v>
      </c>
      <c r="H561">
        <v>21.6</v>
      </c>
      <c r="I561">
        <v>0</v>
      </c>
      <c r="L561">
        <v>4</v>
      </c>
      <c r="M561">
        <v>4</v>
      </c>
      <c r="N561">
        <v>4</v>
      </c>
      <c r="O561">
        <v>0</v>
      </c>
      <c r="P561">
        <v>29.6</v>
      </c>
      <c r="Q561">
        <v>63</v>
      </c>
      <c r="R561">
        <v>63</v>
      </c>
      <c r="S561">
        <v>0</v>
      </c>
      <c r="T561">
        <v>0</v>
      </c>
      <c r="U561" s="1">
        <v>0</v>
      </c>
      <c r="V561">
        <v>92.6</v>
      </c>
    </row>
    <row r="562" spans="1:22" ht="15">
      <c r="A562" s="4">
        <v>555</v>
      </c>
      <c r="B562">
        <v>1247</v>
      </c>
      <c r="C562" t="s">
        <v>1390</v>
      </c>
      <c r="D562" t="s">
        <v>403</v>
      </c>
      <c r="E562" t="s">
        <v>83</v>
      </c>
      <c r="F562" t="s">
        <v>1391</v>
      </c>
      <c r="G562" t="str">
        <f>"00442058"</f>
        <v>00442058</v>
      </c>
      <c r="H562">
        <v>21.6</v>
      </c>
      <c r="I562">
        <v>0</v>
      </c>
      <c r="L562">
        <v>4</v>
      </c>
      <c r="M562">
        <v>0</v>
      </c>
      <c r="N562">
        <v>4</v>
      </c>
      <c r="O562">
        <v>0</v>
      </c>
      <c r="P562">
        <v>25.6</v>
      </c>
      <c r="Q562">
        <v>61</v>
      </c>
      <c r="R562">
        <v>61</v>
      </c>
      <c r="S562">
        <v>6</v>
      </c>
      <c r="T562">
        <v>0</v>
      </c>
      <c r="U562" s="1">
        <v>0</v>
      </c>
      <c r="V562">
        <v>92.6</v>
      </c>
    </row>
    <row r="563" spans="1:22" ht="15">
      <c r="A563" s="4">
        <v>556</v>
      </c>
      <c r="B563">
        <v>3157</v>
      </c>
      <c r="C563" t="s">
        <v>1392</v>
      </c>
      <c r="D563" t="s">
        <v>582</v>
      </c>
      <c r="E563" t="s">
        <v>440</v>
      </c>
      <c r="F563" t="s">
        <v>1393</v>
      </c>
      <c r="G563" t="str">
        <f>"00516524"</f>
        <v>00516524</v>
      </c>
      <c r="H563">
        <v>38.56</v>
      </c>
      <c r="I563">
        <v>0</v>
      </c>
      <c r="M563">
        <v>4</v>
      </c>
      <c r="N563">
        <v>0</v>
      </c>
      <c r="O563">
        <v>0</v>
      </c>
      <c r="P563">
        <v>42.56</v>
      </c>
      <c r="Q563">
        <v>41</v>
      </c>
      <c r="R563">
        <v>41</v>
      </c>
      <c r="S563">
        <v>9</v>
      </c>
      <c r="T563">
        <v>0</v>
      </c>
      <c r="U563" s="1">
        <v>0</v>
      </c>
      <c r="V563">
        <v>92.56</v>
      </c>
    </row>
    <row r="564" spans="1:22" ht="15">
      <c r="A564" s="4">
        <v>557</v>
      </c>
      <c r="B564">
        <v>1119</v>
      </c>
      <c r="C564" t="s">
        <v>1394</v>
      </c>
      <c r="D564" t="s">
        <v>971</v>
      </c>
      <c r="E564" t="s">
        <v>11</v>
      </c>
      <c r="F564" t="s">
        <v>1395</v>
      </c>
      <c r="G564" t="str">
        <f>"00442279"</f>
        <v>00442279</v>
      </c>
      <c r="H564">
        <v>50.4</v>
      </c>
      <c r="I564">
        <v>0</v>
      </c>
      <c r="M564">
        <v>4</v>
      </c>
      <c r="N564">
        <v>0</v>
      </c>
      <c r="O564">
        <v>2</v>
      </c>
      <c r="P564">
        <v>56.4</v>
      </c>
      <c r="Q564">
        <v>33</v>
      </c>
      <c r="R564">
        <v>33</v>
      </c>
      <c r="S564">
        <v>3</v>
      </c>
      <c r="T564">
        <v>0</v>
      </c>
      <c r="U564" s="1">
        <v>0</v>
      </c>
      <c r="V564">
        <v>92.4</v>
      </c>
    </row>
    <row r="565" spans="1:22" ht="15">
      <c r="A565" s="4">
        <v>558</v>
      </c>
      <c r="B565">
        <v>3055</v>
      </c>
      <c r="C565" t="s">
        <v>1396</v>
      </c>
      <c r="D565" t="s">
        <v>1397</v>
      </c>
      <c r="E565" t="s">
        <v>19</v>
      </c>
      <c r="F565" t="s">
        <v>1398</v>
      </c>
      <c r="G565" t="str">
        <f>"201511036880"</f>
        <v>201511036880</v>
      </c>
      <c r="H565">
        <v>50.4</v>
      </c>
      <c r="I565">
        <v>0</v>
      </c>
      <c r="L565">
        <v>4</v>
      </c>
      <c r="M565">
        <v>4</v>
      </c>
      <c r="N565">
        <v>4</v>
      </c>
      <c r="O565">
        <v>0</v>
      </c>
      <c r="P565">
        <v>58.4</v>
      </c>
      <c r="Q565">
        <v>34</v>
      </c>
      <c r="R565">
        <v>34</v>
      </c>
      <c r="S565">
        <v>0</v>
      </c>
      <c r="T565">
        <v>0</v>
      </c>
      <c r="U565" s="1">
        <v>0</v>
      </c>
      <c r="V565">
        <v>92.4</v>
      </c>
    </row>
    <row r="566" spans="1:22" ht="15">
      <c r="A566" s="4">
        <v>559</v>
      </c>
      <c r="B566">
        <v>2502</v>
      </c>
      <c r="C566" t="s">
        <v>1399</v>
      </c>
      <c r="D566" t="s">
        <v>1400</v>
      </c>
      <c r="E566" t="s">
        <v>1401</v>
      </c>
      <c r="F566" t="s">
        <v>1402</v>
      </c>
      <c r="G566" t="str">
        <f>"00441622"</f>
        <v>00441622</v>
      </c>
      <c r="H566">
        <v>50.4</v>
      </c>
      <c r="I566">
        <v>0</v>
      </c>
      <c r="L566">
        <v>4</v>
      </c>
      <c r="M566">
        <v>4</v>
      </c>
      <c r="N566">
        <v>4</v>
      </c>
      <c r="O566">
        <v>0</v>
      </c>
      <c r="P566">
        <v>58.4</v>
      </c>
      <c r="Q566">
        <v>34</v>
      </c>
      <c r="R566">
        <v>34</v>
      </c>
      <c r="S566">
        <v>0</v>
      </c>
      <c r="T566">
        <v>0</v>
      </c>
      <c r="U566" s="1">
        <v>0</v>
      </c>
      <c r="V566">
        <v>92.4</v>
      </c>
    </row>
    <row r="567" spans="1:22" ht="15">
      <c r="A567" s="4">
        <v>560</v>
      </c>
      <c r="B567">
        <v>2254</v>
      </c>
      <c r="C567" t="s">
        <v>1403</v>
      </c>
      <c r="D567" t="s">
        <v>14</v>
      </c>
      <c r="E567" t="s">
        <v>447</v>
      </c>
      <c r="F567" t="s">
        <v>1404</v>
      </c>
      <c r="G567" t="str">
        <f>"00481113"</f>
        <v>00481113</v>
      </c>
      <c r="H567">
        <v>36</v>
      </c>
      <c r="I567">
        <v>0</v>
      </c>
      <c r="M567">
        <v>4</v>
      </c>
      <c r="N567">
        <v>0</v>
      </c>
      <c r="O567">
        <v>0</v>
      </c>
      <c r="P567">
        <v>40</v>
      </c>
      <c r="Q567">
        <v>49</v>
      </c>
      <c r="R567">
        <v>49</v>
      </c>
      <c r="S567">
        <v>3</v>
      </c>
      <c r="T567">
        <v>0</v>
      </c>
      <c r="U567" s="1">
        <v>0</v>
      </c>
      <c r="V567">
        <v>92</v>
      </c>
    </row>
    <row r="568" spans="1:22" ht="15">
      <c r="A568" s="4">
        <v>561</v>
      </c>
      <c r="B568">
        <v>977</v>
      </c>
      <c r="C568" t="s">
        <v>1405</v>
      </c>
      <c r="D568" t="s">
        <v>89</v>
      </c>
      <c r="E568" t="s">
        <v>51</v>
      </c>
      <c r="F568" t="s">
        <v>1406</v>
      </c>
      <c r="G568" t="str">
        <f>"00482830"</f>
        <v>00482830</v>
      </c>
      <c r="H568">
        <v>72</v>
      </c>
      <c r="I568">
        <v>0</v>
      </c>
      <c r="J568">
        <v>8</v>
      </c>
      <c r="M568">
        <v>4</v>
      </c>
      <c r="N568">
        <v>8</v>
      </c>
      <c r="O568">
        <v>0</v>
      </c>
      <c r="P568">
        <v>84</v>
      </c>
      <c r="Q568">
        <v>8</v>
      </c>
      <c r="R568">
        <v>8</v>
      </c>
      <c r="S568">
        <v>0</v>
      </c>
      <c r="T568">
        <v>0</v>
      </c>
      <c r="U568" s="1">
        <v>0</v>
      </c>
      <c r="V568">
        <v>92</v>
      </c>
    </row>
    <row r="569" spans="1:22" ht="15">
      <c r="A569" s="4">
        <v>562</v>
      </c>
      <c r="B569">
        <v>2664</v>
      </c>
      <c r="C569" t="s">
        <v>789</v>
      </c>
      <c r="D569" t="s">
        <v>1407</v>
      </c>
      <c r="E569" t="s">
        <v>11</v>
      </c>
      <c r="F569" t="s">
        <v>1408</v>
      </c>
      <c r="G569" t="str">
        <f>"00485245"</f>
        <v>00485245</v>
      </c>
      <c r="H569">
        <v>72</v>
      </c>
      <c r="I569">
        <v>0</v>
      </c>
      <c r="J569">
        <v>8</v>
      </c>
      <c r="M569">
        <v>4</v>
      </c>
      <c r="N569">
        <v>8</v>
      </c>
      <c r="O569">
        <v>2</v>
      </c>
      <c r="P569">
        <v>86</v>
      </c>
      <c r="Q569">
        <v>0</v>
      </c>
      <c r="R569">
        <v>0</v>
      </c>
      <c r="S569">
        <v>6</v>
      </c>
      <c r="T569">
        <v>0</v>
      </c>
      <c r="U569" s="1">
        <v>0</v>
      </c>
      <c r="V569">
        <v>92</v>
      </c>
    </row>
    <row r="570" spans="1:22" ht="15">
      <c r="A570" s="4">
        <v>563</v>
      </c>
      <c r="B570">
        <v>2944</v>
      </c>
      <c r="C570" t="s">
        <v>1409</v>
      </c>
      <c r="D570" t="s">
        <v>102</v>
      </c>
      <c r="E570" t="s">
        <v>51</v>
      </c>
      <c r="F570" t="s">
        <v>1410</v>
      </c>
      <c r="G570" t="str">
        <f>"00529743"</f>
        <v>00529743</v>
      </c>
      <c r="H570">
        <v>36</v>
      </c>
      <c r="I570">
        <v>0</v>
      </c>
      <c r="L570">
        <v>4</v>
      </c>
      <c r="M570">
        <v>0</v>
      </c>
      <c r="N570">
        <v>4</v>
      </c>
      <c r="O570">
        <v>0</v>
      </c>
      <c r="P570">
        <v>40</v>
      </c>
      <c r="Q570">
        <v>52</v>
      </c>
      <c r="R570">
        <v>52</v>
      </c>
      <c r="S570">
        <v>0</v>
      </c>
      <c r="T570">
        <v>0</v>
      </c>
      <c r="U570" s="1">
        <v>0</v>
      </c>
      <c r="V570">
        <v>92</v>
      </c>
    </row>
    <row r="571" spans="1:22" ht="15">
      <c r="A571" s="4">
        <v>564</v>
      </c>
      <c r="B571">
        <v>987</v>
      </c>
      <c r="C571" t="s">
        <v>915</v>
      </c>
      <c r="D571" t="s">
        <v>1411</v>
      </c>
      <c r="E571" t="s">
        <v>197</v>
      </c>
      <c r="F571" t="s">
        <v>1412</v>
      </c>
      <c r="G571" t="str">
        <f>"00529963"</f>
        <v>00529963</v>
      </c>
      <c r="H571">
        <v>72</v>
      </c>
      <c r="I571">
        <v>0</v>
      </c>
      <c r="J571">
        <v>8</v>
      </c>
      <c r="M571">
        <v>4</v>
      </c>
      <c r="N571">
        <v>8</v>
      </c>
      <c r="O571">
        <v>0</v>
      </c>
      <c r="P571">
        <v>84</v>
      </c>
      <c r="Q571">
        <v>8</v>
      </c>
      <c r="R571">
        <v>8</v>
      </c>
      <c r="S571">
        <v>0</v>
      </c>
      <c r="T571">
        <v>0</v>
      </c>
      <c r="U571" s="1">
        <v>0</v>
      </c>
      <c r="V571">
        <v>92</v>
      </c>
    </row>
    <row r="572" spans="1:22" ht="15">
      <c r="A572" s="4">
        <v>565</v>
      </c>
      <c r="B572">
        <v>2960</v>
      </c>
      <c r="C572" t="s">
        <v>1413</v>
      </c>
      <c r="D572" t="s">
        <v>156</v>
      </c>
      <c r="E572" t="s">
        <v>11</v>
      </c>
      <c r="F572" t="s">
        <v>1414</v>
      </c>
      <c r="G572" t="str">
        <f>"00442506"</f>
        <v>00442506</v>
      </c>
      <c r="H572">
        <v>28.8</v>
      </c>
      <c r="I572">
        <v>0</v>
      </c>
      <c r="J572">
        <v>8</v>
      </c>
      <c r="M572">
        <v>4</v>
      </c>
      <c r="N572">
        <v>8</v>
      </c>
      <c r="O572">
        <v>0</v>
      </c>
      <c r="P572">
        <v>40.8</v>
      </c>
      <c r="Q572">
        <v>51</v>
      </c>
      <c r="R572">
        <v>51</v>
      </c>
      <c r="S572">
        <v>0</v>
      </c>
      <c r="T572">
        <v>0</v>
      </c>
      <c r="U572" s="1">
        <v>0</v>
      </c>
      <c r="V572">
        <v>91.8</v>
      </c>
    </row>
    <row r="573" spans="1:22" ht="15">
      <c r="A573" s="4">
        <v>566</v>
      </c>
      <c r="B573">
        <v>3038</v>
      </c>
      <c r="C573" t="s">
        <v>1415</v>
      </c>
      <c r="D573" t="s">
        <v>89</v>
      </c>
      <c r="E573" t="s">
        <v>428</v>
      </c>
      <c r="F573" t="s">
        <v>1416</v>
      </c>
      <c r="G573" t="str">
        <f>"201511026965"</f>
        <v>201511026965</v>
      </c>
      <c r="H573">
        <v>62.64</v>
      </c>
      <c r="I573">
        <v>10</v>
      </c>
      <c r="L573">
        <v>4</v>
      </c>
      <c r="M573">
        <v>4</v>
      </c>
      <c r="N573">
        <v>4</v>
      </c>
      <c r="O573">
        <v>0</v>
      </c>
      <c r="P573">
        <v>80.64</v>
      </c>
      <c r="Q573">
        <v>8</v>
      </c>
      <c r="R573">
        <v>8</v>
      </c>
      <c r="S573">
        <v>3</v>
      </c>
      <c r="T573">
        <v>0</v>
      </c>
      <c r="U573" s="1">
        <v>0</v>
      </c>
      <c r="V573">
        <v>91.64</v>
      </c>
    </row>
    <row r="574" spans="1:22" ht="15">
      <c r="A574" s="4">
        <v>567</v>
      </c>
      <c r="B574">
        <v>3242</v>
      </c>
      <c r="C574" t="s">
        <v>1417</v>
      </c>
      <c r="D574" t="s">
        <v>367</v>
      </c>
      <c r="E574" t="s">
        <v>30</v>
      </c>
      <c r="F574" t="s">
        <v>1418</v>
      </c>
      <c r="G574" t="str">
        <f>"00476071"</f>
        <v>00476071</v>
      </c>
      <c r="H574">
        <v>21.6</v>
      </c>
      <c r="I574">
        <v>10</v>
      </c>
      <c r="M574">
        <v>4</v>
      </c>
      <c r="N574">
        <v>0</v>
      </c>
      <c r="O574">
        <v>0</v>
      </c>
      <c r="P574">
        <v>35.6</v>
      </c>
      <c r="Q574">
        <v>56</v>
      </c>
      <c r="R574">
        <v>56</v>
      </c>
      <c r="S574">
        <v>0</v>
      </c>
      <c r="T574">
        <v>0</v>
      </c>
      <c r="U574" s="1">
        <v>0</v>
      </c>
      <c r="V574">
        <v>91.6</v>
      </c>
    </row>
    <row r="575" spans="1:22" ht="15">
      <c r="A575" s="4">
        <v>568</v>
      </c>
      <c r="B575">
        <v>1407</v>
      </c>
      <c r="C575" t="s">
        <v>1419</v>
      </c>
      <c r="D575" t="s">
        <v>40</v>
      </c>
      <c r="E575" t="s">
        <v>30</v>
      </c>
      <c r="F575" t="s">
        <v>1420</v>
      </c>
      <c r="G575" t="str">
        <f>"00511302"</f>
        <v>00511302</v>
      </c>
      <c r="H575">
        <v>43.2</v>
      </c>
      <c r="I575">
        <v>10</v>
      </c>
      <c r="M575">
        <v>4</v>
      </c>
      <c r="N575">
        <v>0</v>
      </c>
      <c r="O575">
        <v>0</v>
      </c>
      <c r="P575">
        <v>57.2</v>
      </c>
      <c r="Q575">
        <v>34</v>
      </c>
      <c r="R575">
        <v>34</v>
      </c>
      <c r="S575">
        <v>0</v>
      </c>
      <c r="T575">
        <v>0</v>
      </c>
      <c r="U575" s="1">
        <v>0</v>
      </c>
      <c r="V575">
        <v>91.2</v>
      </c>
    </row>
    <row r="576" spans="1:22" ht="15">
      <c r="A576" s="4">
        <v>569</v>
      </c>
      <c r="B576">
        <v>8</v>
      </c>
      <c r="C576" t="s">
        <v>1421</v>
      </c>
      <c r="D576" t="s">
        <v>89</v>
      </c>
      <c r="E576" t="s">
        <v>59</v>
      </c>
      <c r="F576" t="s">
        <v>1422</v>
      </c>
      <c r="G576" t="str">
        <f>"00486108"</f>
        <v>00486108</v>
      </c>
      <c r="H576">
        <v>43.2</v>
      </c>
      <c r="I576">
        <v>10</v>
      </c>
      <c r="L576">
        <v>4</v>
      </c>
      <c r="M576">
        <v>4</v>
      </c>
      <c r="N576">
        <v>4</v>
      </c>
      <c r="O576">
        <v>0</v>
      </c>
      <c r="P576">
        <v>61.2</v>
      </c>
      <c r="Q576">
        <v>24</v>
      </c>
      <c r="R576">
        <v>24</v>
      </c>
      <c r="S576">
        <v>6</v>
      </c>
      <c r="T576">
        <v>0</v>
      </c>
      <c r="U576" s="1">
        <v>0</v>
      </c>
      <c r="V576">
        <v>91.2</v>
      </c>
    </row>
    <row r="577" spans="1:22" ht="15">
      <c r="A577" s="4">
        <v>570</v>
      </c>
      <c r="B577">
        <v>1616</v>
      </c>
      <c r="C577" t="s">
        <v>1423</v>
      </c>
      <c r="D577" t="s">
        <v>1424</v>
      </c>
      <c r="E577" t="s">
        <v>1425</v>
      </c>
      <c r="F577" t="s">
        <v>1426</v>
      </c>
      <c r="G577" t="str">
        <f>"00511312"</f>
        <v>00511312</v>
      </c>
      <c r="H577">
        <v>0</v>
      </c>
      <c r="I577">
        <v>0</v>
      </c>
      <c r="M577">
        <v>4</v>
      </c>
      <c r="N577">
        <v>0</v>
      </c>
      <c r="O577">
        <v>0</v>
      </c>
      <c r="P577">
        <v>4</v>
      </c>
      <c r="Q577">
        <v>87</v>
      </c>
      <c r="R577">
        <v>87</v>
      </c>
      <c r="S577">
        <v>0</v>
      </c>
      <c r="T577">
        <v>0</v>
      </c>
      <c r="U577" s="1">
        <v>0</v>
      </c>
      <c r="V577">
        <v>91</v>
      </c>
    </row>
    <row r="578" spans="1:22" ht="15">
      <c r="A578" s="4">
        <v>571</v>
      </c>
      <c r="B578">
        <v>3071</v>
      </c>
      <c r="C578" t="s">
        <v>1427</v>
      </c>
      <c r="D578" t="s">
        <v>545</v>
      </c>
      <c r="E578" t="s">
        <v>327</v>
      </c>
      <c r="F578" t="s">
        <v>1428</v>
      </c>
      <c r="G578" t="str">
        <f>"00503913"</f>
        <v>00503913</v>
      </c>
      <c r="H578">
        <v>72</v>
      </c>
      <c r="I578">
        <v>0</v>
      </c>
      <c r="L578">
        <v>4</v>
      </c>
      <c r="M578">
        <v>4</v>
      </c>
      <c r="N578">
        <v>4</v>
      </c>
      <c r="O578">
        <v>0</v>
      </c>
      <c r="P578">
        <v>80</v>
      </c>
      <c r="Q578">
        <v>8</v>
      </c>
      <c r="R578">
        <v>8</v>
      </c>
      <c r="S578">
        <v>3</v>
      </c>
      <c r="T578">
        <v>0</v>
      </c>
      <c r="U578" s="1">
        <v>0</v>
      </c>
      <c r="V578">
        <v>91</v>
      </c>
    </row>
    <row r="579" spans="1:22" ht="15">
      <c r="A579" s="4">
        <v>572</v>
      </c>
      <c r="B579">
        <v>500</v>
      </c>
      <c r="C579" t="s">
        <v>1429</v>
      </c>
      <c r="D579" t="s">
        <v>1407</v>
      </c>
      <c r="E579" t="s">
        <v>1430</v>
      </c>
      <c r="F579" t="s">
        <v>1431</v>
      </c>
      <c r="G579" t="str">
        <f>"00441513"</f>
        <v>00441513</v>
      </c>
      <c r="H579">
        <v>36</v>
      </c>
      <c r="I579">
        <v>10</v>
      </c>
      <c r="M579">
        <v>4</v>
      </c>
      <c r="N579">
        <v>0</v>
      </c>
      <c r="O579">
        <v>0</v>
      </c>
      <c r="P579">
        <v>50</v>
      </c>
      <c r="Q579">
        <v>41</v>
      </c>
      <c r="R579">
        <v>41</v>
      </c>
      <c r="S579">
        <v>0</v>
      </c>
      <c r="T579">
        <v>0</v>
      </c>
      <c r="U579" s="1">
        <v>0</v>
      </c>
      <c r="V579">
        <v>91</v>
      </c>
    </row>
    <row r="580" spans="1:22" ht="15">
      <c r="A580" s="4">
        <v>573</v>
      </c>
      <c r="B580">
        <v>171</v>
      </c>
      <c r="C580" t="s">
        <v>1432</v>
      </c>
      <c r="D580" t="s">
        <v>89</v>
      </c>
      <c r="E580" t="s">
        <v>190</v>
      </c>
      <c r="F580" t="s">
        <v>1433</v>
      </c>
      <c r="G580" t="str">
        <f>"00471846"</f>
        <v>00471846</v>
      </c>
      <c r="H580">
        <v>72</v>
      </c>
      <c r="I580">
        <v>0</v>
      </c>
      <c r="J580">
        <v>8</v>
      </c>
      <c r="L580">
        <v>4</v>
      </c>
      <c r="M580">
        <v>4</v>
      </c>
      <c r="N580">
        <v>12</v>
      </c>
      <c r="O580">
        <v>0</v>
      </c>
      <c r="P580">
        <v>88</v>
      </c>
      <c r="Q580">
        <v>0</v>
      </c>
      <c r="R580">
        <v>0</v>
      </c>
      <c r="S580">
        <v>3</v>
      </c>
      <c r="T580">
        <v>0</v>
      </c>
      <c r="U580" s="1">
        <v>0</v>
      </c>
      <c r="V580">
        <v>91</v>
      </c>
    </row>
    <row r="581" spans="1:22" ht="15">
      <c r="A581" s="4">
        <v>574</v>
      </c>
      <c r="B581">
        <v>704</v>
      </c>
      <c r="C581" t="s">
        <v>1434</v>
      </c>
      <c r="D581" t="s">
        <v>603</v>
      </c>
      <c r="E581" t="s">
        <v>73</v>
      </c>
      <c r="F581" t="s">
        <v>1435</v>
      </c>
      <c r="G581" t="str">
        <f>"201406007756"</f>
        <v>201406007756</v>
      </c>
      <c r="H581">
        <v>34.84</v>
      </c>
      <c r="I581">
        <v>10</v>
      </c>
      <c r="L581">
        <v>4</v>
      </c>
      <c r="M581">
        <v>4</v>
      </c>
      <c r="N581">
        <v>4</v>
      </c>
      <c r="O581">
        <v>0</v>
      </c>
      <c r="P581">
        <v>52.84</v>
      </c>
      <c r="Q581">
        <v>32</v>
      </c>
      <c r="R581">
        <v>32</v>
      </c>
      <c r="S581">
        <v>6</v>
      </c>
      <c r="T581">
        <v>0</v>
      </c>
      <c r="U581" s="1">
        <v>0</v>
      </c>
      <c r="V581">
        <v>90.84</v>
      </c>
    </row>
    <row r="582" spans="1:22" ht="15">
      <c r="A582" s="4">
        <v>575</v>
      </c>
      <c r="B582">
        <v>370</v>
      </c>
      <c r="C582" t="s">
        <v>1436</v>
      </c>
      <c r="D582" t="s">
        <v>121</v>
      </c>
      <c r="E582" t="s">
        <v>69</v>
      </c>
      <c r="F582" t="s">
        <v>1437</v>
      </c>
      <c r="G582" t="str">
        <f>"201110000099"</f>
        <v>201110000099</v>
      </c>
      <c r="H582">
        <v>64.8</v>
      </c>
      <c r="I582">
        <v>0</v>
      </c>
      <c r="L582">
        <v>4</v>
      </c>
      <c r="M582">
        <v>4</v>
      </c>
      <c r="N582">
        <v>4</v>
      </c>
      <c r="O582">
        <v>0</v>
      </c>
      <c r="P582">
        <v>72.8</v>
      </c>
      <c r="Q582">
        <v>18</v>
      </c>
      <c r="R582">
        <v>18</v>
      </c>
      <c r="S582">
        <v>0</v>
      </c>
      <c r="T582">
        <v>0</v>
      </c>
      <c r="U582" s="1">
        <v>0</v>
      </c>
      <c r="V582">
        <v>90.8</v>
      </c>
    </row>
    <row r="583" spans="1:22" ht="15">
      <c r="A583" s="4">
        <v>576</v>
      </c>
      <c r="B583">
        <v>882</v>
      </c>
      <c r="C583" t="s">
        <v>1438</v>
      </c>
      <c r="D583" t="s">
        <v>173</v>
      </c>
      <c r="E583" t="s">
        <v>15</v>
      </c>
      <c r="F583" t="s">
        <v>1439</v>
      </c>
      <c r="G583" t="str">
        <f>"00441919"</f>
        <v>00441919</v>
      </c>
      <c r="H583">
        <v>28.8</v>
      </c>
      <c r="I583">
        <v>10</v>
      </c>
      <c r="K583">
        <v>6</v>
      </c>
      <c r="M583">
        <v>4</v>
      </c>
      <c r="N583">
        <v>6</v>
      </c>
      <c r="O583">
        <v>0</v>
      </c>
      <c r="P583">
        <v>48.8</v>
      </c>
      <c r="Q583">
        <v>42</v>
      </c>
      <c r="R583">
        <v>42</v>
      </c>
      <c r="S583">
        <v>0</v>
      </c>
      <c r="T583">
        <v>0</v>
      </c>
      <c r="U583" s="1">
        <v>0</v>
      </c>
      <c r="V583">
        <v>90.8</v>
      </c>
    </row>
    <row r="584" spans="1:22" ht="15">
      <c r="A584" s="4">
        <v>577</v>
      </c>
      <c r="B584">
        <v>1602</v>
      </c>
      <c r="C584" t="s">
        <v>1440</v>
      </c>
      <c r="D584" t="s">
        <v>58</v>
      </c>
      <c r="E584" t="s">
        <v>11</v>
      </c>
      <c r="F584" t="s">
        <v>1441</v>
      </c>
      <c r="G584" t="str">
        <f>"00441924"</f>
        <v>00441924</v>
      </c>
      <c r="H584">
        <v>37.72</v>
      </c>
      <c r="I584">
        <v>0</v>
      </c>
      <c r="M584">
        <v>4</v>
      </c>
      <c r="N584">
        <v>0</v>
      </c>
      <c r="O584">
        <v>2</v>
      </c>
      <c r="P584">
        <v>43.72</v>
      </c>
      <c r="Q584">
        <v>41</v>
      </c>
      <c r="R584">
        <v>41</v>
      </c>
      <c r="S584">
        <v>6</v>
      </c>
      <c r="T584">
        <v>0</v>
      </c>
      <c r="U584" s="1">
        <v>0</v>
      </c>
      <c r="V584">
        <v>90.72</v>
      </c>
    </row>
    <row r="585" spans="1:22" ht="15">
      <c r="A585" s="4">
        <v>578</v>
      </c>
      <c r="B585">
        <v>1298</v>
      </c>
      <c r="C585" t="s">
        <v>1442</v>
      </c>
      <c r="D585" t="s">
        <v>958</v>
      </c>
      <c r="E585" t="s">
        <v>30</v>
      </c>
      <c r="F585" t="s">
        <v>1443</v>
      </c>
      <c r="G585" t="str">
        <f>"00509442"</f>
        <v>00509442</v>
      </c>
      <c r="H585">
        <v>25.84</v>
      </c>
      <c r="I585">
        <v>0</v>
      </c>
      <c r="M585">
        <v>4</v>
      </c>
      <c r="N585">
        <v>0</v>
      </c>
      <c r="O585">
        <v>0</v>
      </c>
      <c r="P585">
        <v>29.84</v>
      </c>
      <c r="Q585">
        <v>26</v>
      </c>
      <c r="R585">
        <v>26</v>
      </c>
      <c r="S585">
        <v>6</v>
      </c>
      <c r="T585">
        <v>28.8</v>
      </c>
      <c r="U585" s="1">
        <v>0</v>
      </c>
      <c r="V585">
        <v>90.64</v>
      </c>
    </row>
    <row r="586" spans="1:22" ht="15">
      <c r="A586" s="4">
        <v>579</v>
      </c>
      <c r="B586">
        <v>1362</v>
      </c>
      <c r="C586" t="s">
        <v>1444</v>
      </c>
      <c r="D586" t="s">
        <v>1445</v>
      </c>
      <c r="E586" t="s">
        <v>1306</v>
      </c>
      <c r="F586" t="s">
        <v>1446</v>
      </c>
      <c r="G586" t="str">
        <f>"00469337"</f>
        <v>00469337</v>
      </c>
      <c r="H586">
        <v>39.6</v>
      </c>
      <c r="I586">
        <v>0</v>
      </c>
      <c r="M586">
        <v>4</v>
      </c>
      <c r="N586">
        <v>0</v>
      </c>
      <c r="O586">
        <v>0</v>
      </c>
      <c r="P586">
        <v>43.6</v>
      </c>
      <c r="Q586">
        <v>41</v>
      </c>
      <c r="R586">
        <v>41</v>
      </c>
      <c r="S586">
        <v>6</v>
      </c>
      <c r="T586">
        <v>0</v>
      </c>
      <c r="U586" s="1">
        <v>0</v>
      </c>
      <c r="V586">
        <v>90.6</v>
      </c>
    </row>
    <row r="587" spans="1:22" ht="15">
      <c r="A587" s="4">
        <v>580</v>
      </c>
      <c r="B587">
        <v>251</v>
      </c>
      <c r="C587" t="s">
        <v>533</v>
      </c>
      <c r="D587" t="s">
        <v>280</v>
      </c>
      <c r="E587" t="s">
        <v>15</v>
      </c>
      <c r="F587" t="s">
        <v>1447</v>
      </c>
      <c r="G587" t="str">
        <f>"200801002316"</f>
        <v>200801002316</v>
      </c>
      <c r="H587">
        <v>21.6</v>
      </c>
      <c r="I587">
        <v>10</v>
      </c>
      <c r="L587">
        <v>4</v>
      </c>
      <c r="M587">
        <v>4</v>
      </c>
      <c r="N587">
        <v>4</v>
      </c>
      <c r="O587">
        <v>0</v>
      </c>
      <c r="P587">
        <v>39.6</v>
      </c>
      <c r="Q587">
        <v>51</v>
      </c>
      <c r="R587">
        <v>51</v>
      </c>
      <c r="S587">
        <v>0</v>
      </c>
      <c r="T587">
        <v>0</v>
      </c>
      <c r="U587" s="1">
        <v>0</v>
      </c>
      <c r="V587">
        <v>90.6</v>
      </c>
    </row>
    <row r="588" spans="1:22" ht="15">
      <c r="A588" s="4">
        <v>581</v>
      </c>
      <c r="B588">
        <v>2290</v>
      </c>
      <c r="C588" t="s">
        <v>1448</v>
      </c>
      <c r="D588" t="s">
        <v>76</v>
      </c>
      <c r="E588" t="s">
        <v>19</v>
      </c>
      <c r="F588" t="s">
        <v>1449</v>
      </c>
      <c r="G588" t="str">
        <f>"00529419"</f>
        <v>00529419</v>
      </c>
      <c r="H588">
        <v>26.48</v>
      </c>
      <c r="I588">
        <v>0</v>
      </c>
      <c r="M588">
        <v>0</v>
      </c>
      <c r="N588">
        <v>0</v>
      </c>
      <c r="O588">
        <v>0</v>
      </c>
      <c r="P588">
        <v>26.48</v>
      </c>
      <c r="Q588">
        <v>55</v>
      </c>
      <c r="R588">
        <v>55</v>
      </c>
      <c r="S588">
        <v>9</v>
      </c>
      <c r="T588">
        <v>0</v>
      </c>
      <c r="U588" s="1">
        <v>0</v>
      </c>
      <c r="V588">
        <v>90.48</v>
      </c>
    </row>
    <row r="589" spans="1:22" ht="15">
      <c r="A589" s="4">
        <v>582</v>
      </c>
      <c r="B589">
        <v>1567</v>
      </c>
      <c r="C589" t="s">
        <v>1450</v>
      </c>
      <c r="D589" t="s">
        <v>76</v>
      </c>
      <c r="E589" t="s">
        <v>59</v>
      </c>
      <c r="F589" t="s">
        <v>1451</v>
      </c>
      <c r="G589" t="str">
        <f>"201406017884"</f>
        <v>201406017884</v>
      </c>
      <c r="H589">
        <v>50.4</v>
      </c>
      <c r="I589">
        <v>0</v>
      </c>
      <c r="J589">
        <v>8</v>
      </c>
      <c r="M589">
        <v>4</v>
      </c>
      <c r="N589">
        <v>8</v>
      </c>
      <c r="O589">
        <v>0</v>
      </c>
      <c r="P589">
        <v>62.4</v>
      </c>
      <c r="Q589">
        <v>19</v>
      </c>
      <c r="R589">
        <v>19</v>
      </c>
      <c r="S589">
        <v>9</v>
      </c>
      <c r="T589">
        <v>0</v>
      </c>
      <c r="U589" s="1">
        <v>0</v>
      </c>
      <c r="V589">
        <v>90.4</v>
      </c>
    </row>
    <row r="590" spans="1:22" ht="15">
      <c r="A590" s="4">
        <v>583</v>
      </c>
      <c r="B590">
        <v>934</v>
      </c>
      <c r="C590" t="s">
        <v>1452</v>
      </c>
      <c r="D590" t="s">
        <v>222</v>
      </c>
      <c r="E590" t="s">
        <v>23</v>
      </c>
      <c r="F590" t="s">
        <v>1453</v>
      </c>
      <c r="G590" t="str">
        <f>"201511018406"</f>
        <v>201511018406</v>
      </c>
      <c r="H590">
        <v>36</v>
      </c>
      <c r="I590">
        <v>10</v>
      </c>
      <c r="J590">
        <v>8</v>
      </c>
      <c r="M590">
        <v>4</v>
      </c>
      <c r="N590">
        <v>8</v>
      </c>
      <c r="O590">
        <v>0</v>
      </c>
      <c r="P590">
        <v>58</v>
      </c>
      <c r="Q590">
        <v>32</v>
      </c>
      <c r="R590">
        <v>32</v>
      </c>
      <c r="S590">
        <v>0</v>
      </c>
      <c r="T590">
        <v>0</v>
      </c>
      <c r="U590" s="1">
        <v>0</v>
      </c>
      <c r="V590">
        <v>90</v>
      </c>
    </row>
    <row r="591" spans="1:22" ht="15">
      <c r="A591" s="4">
        <v>584</v>
      </c>
      <c r="B591">
        <v>1612</v>
      </c>
      <c r="C591" t="s">
        <v>1454</v>
      </c>
      <c r="D591" t="s">
        <v>1034</v>
      </c>
      <c r="E591" t="s">
        <v>90</v>
      </c>
      <c r="F591" t="s">
        <v>1455</v>
      </c>
      <c r="G591" t="str">
        <f>"00441483"</f>
        <v>00441483</v>
      </c>
      <c r="H591">
        <v>36</v>
      </c>
      <c r="I591">
        <v>10</v>
      </c>
      <c r="L591">
        <v>4</v>
      </c>
      <c r="M591">
        <v>4</v>
      </c>
      <c r="N591">
        <v>4</v>
      </c>
      <c r="O591">
        <v>0</v>
      </c>
      <c r="P591">
        <v>54</v>
      </c>
      <c r="Q591">
        <v>30</v>
      </c>
      <c r="R591">
        <v>30</v>
      </c>
      <c r="S591">
        <v>6</v>
      </c>
      <c r="T591">
        <v>0</v>
      </c>
      <c r="U591" s="1">
        <v>0</v>
      </c>
      <c r="V591">
        <v>90</v>
      </c>
    </row>
    <row r="592" spans="1:22" ht="15">
      <c r="A592" s="4">
        <v>585</v>
      </c>
      <c r="B592">
        <v>2186</v>
      </c>
      <c r="C592" t="s">
        <v>1456</v>
      </c>
      <c r="D592" t="s">
        <v>1457</v>
      </c>
      <c r="E592" t="s">
        <v>447</v>
      </c>
      <c r="F592" t="s">
        <v>1458</v>
      </c>
      <c r="G592" t="str">
        <f>"00158360"</f>
        <v>00158360</v>
      </c>
      <c r="H592">
        <v>0</v>
      </c>
      <c r="I592">
        <v>10</v>
      </c>
      <c r="L592">
        <v>4</v>
      </c>
      <c r="M592">
        <v>4</v>
      </c>
      <c r="N592">
        <v>4</v>
      </c>
      <c r="O592">
        <v>0</v>
      </c>
      <c r="P592">
        <v>18</v>
      </c>
      <c r="Q592">
        <v>42</v>
      </c>
      <c r="R592">
        <v>42</v>
      </c>
      <c r="S592">
        <v>6</v>
      </c>
      <c r="T592">
        <v>24</v>
      </c>
      <c r="U592" s="1">
        <v>0</v>
      </c>
      <c r="V592">
        <v>90</v>
      </c>
    </row>
    <row r="593" spans="1:22" ht="15">
      <c r="A593" s="4">
        <v>586</v>
      </c>
      <c r="B593">
        <v>2089</v>
      </c>
      <c r="C593" t="s">
        <v>1459</v>
      </c>
      <c r="D593" t="s">
        <v>179</v>
      </c>
      <c r="E593" t="s">
        <v>30</v>
      </c>
      <c r="F593" t="s">
        <v>1460</v>
      </c>
      <c r="G593" t="str">
        <f>"00518430"</f>
        <v>00518430</v>
      </c>
      <c r="H593">
        <v>72</v>
      </c>
      <c r="I593">
        <v>0</v>
      </c>
      <c r="L593">
        <v>4</v>
      </c>
      <c r="M593">
        <v>4</v>
      </c>
      <c r="N593">
        <v>4</v>
      </c>
      <c r="O593">
        <v>2</v>
      </c>
      <c r="P593">
        <v>82</v>
      </c>
      <c r="Q593">
        <v>8</v>
      </c>
      <c r="R593">
        <v>8</v>
      </c>
      <c r="S593">
        <v>0</v>
      </c>
      <c r="T593">
        <v>0</v>
      </c>
      <c r="U593" s="1">
        <v>0</v>
      </c>
      <c r="V593">
        <v>90</v>
      </c>
    </row>
    <row r="594" spans="1:22" ht="15">
      <c r="A594" s="4">
        <v>587</v>
      </c>
      <c r="B594">
        <v>3283</v>
      </c>
      <c r="C594" t="s">
        <v>1461</v>
      </c>
      <c r="D594" t="s">
        <v>14</v>
      </c>
      <c r="E594" t="s">
        <v>59</v>
      </c>
      <c r="F594" t="s">
        <v>1462</v>
      </c>
      <c r="G594" t="str">
        <f>"00442205"</f>
        <v>00442205</v>
      </c>
      <c r="H594">
        <v>30.92</v>
      </c>
      <c r="I594">
        <v>10</v>
      </c>
      <c r="M594">
        <v>4</v>
      </c>
      <c r="N594">
        <v>0</v>
      </c>
      <c r="O594">
        <v>0</v>
      </c>
      <c r="P594">
        <v>44.92</v>
      </c>
      <c r="Q594">
        <v>45</v>
      </c>
      <c r="R594">
        <v>45</v>
      </c>
      <c r="S594">
        <v>0</v>
      </c>
      <c r="T594">
        <v>0</v>
      </c>
      <c r="U594" s="1">
        <v>0</v>
      </c>
      <c r="V594">
        <v>89.92</v>
      </c>
    </row>
    <row r="595" spans="1:22" ht="15">
      <c r="A595" s="4">
        <v>588</v>
      </c>
      <c r="B595">
        <v>3225</v>
      </c>
      <c r="C595" t="s">
        <v>1463</v>
      </c>
      <c r="D595" t="s">
        <v>156</v>
      </c>
      <c r="E595" t="s">
        <v>440</v>
      </c>
      <c r="F595" t="s">
        <v>1464</v>
      </c>
      <c r="G595" t="str">
        <f>"00475251"</f>
        <v>00475251</v>
      </c>
      <c r="H595">
        <v>36.88</v>
      </c>
      <c r="I595">
        <v>10</v>
      </c>
      <c r="J595">
        <v>8</v>
      </c>
      <c r="M595">
        <v>4</v>
      </c>
      <c r="N595">
        <v>8</v>
      </c>
      <c r="O595">
        <v>0</v>
      </c>
      <c r="P595">
        <v>58.88</v>
      </c>
      <c r="Q595">
        <v>31</v>
      </c>
      <c r="R595">
        <v>31</v>
      </c>
      <c r="S595">
        <v>0</v>
      </c>
      <c r="T595">
        <v>0</v>
      </c>
      <c r="U595" s="1">
        <v>0</v>
      </c>
      <c r="V595">
        <v>89.88</v>
      </c>
    </row>
    <row r="596" spans="1:22" ht="15">
      <c r="A596" s="4">
        <v>589</v>
      </c>
      <c r="B596">
        <v>1418</v>
      </c>
      <c r="C596" t="s">
        <v>1465</v>
      </c>
      <c r="D596" t="s">
        <v>1466</v>
      </c>
      <c r="E596" t="s">
        <v>1120</v>
      </c>
      <c r="F596" t="s">
        <v>1467</v>
      </c>
      <c r="G596" t="str">
        <f>"00513302"</f>
        <v>00513302</v>
      </c>
      <c r="H596">
        <v>28.8</v>
      </c>
      <c r="I596">
        <v>10</v>
      </c>
      <c r="M596">
        <v>4</v>
      </c>
      <c r="N596">
        <v>0</v>
      </c>
      <c r="O596">
        <v>0</v>
      </c>
      <c r="P596">
        <v>42.8</v>
      </c>
      <c r="Q596">
        <v>41</v>
      </c>
      <c r="R596">
        <v>41</v>
      </c>
      <c r="S596">
        <v>6</v>
      </c>
      <c r="T596">
        <v>0</v>
      </c>
      <c r="U596" s="1">
        <v>0</v>
      </c>
      <c r="V596">
        <v>89.8</v>
      </c>
    </row>
    <row r="597" spans="1:22" ht="15">
      <c r="A597" s="4">
        <v>590</v>
      </c>
      <c r="B597">
        <v>492</v>
      </c>
      <c r="C597" t="s">
        <v>387</v>
      </c>
      <c r="D597" t="s">
        <v>68</v>
      </c>
      <c r="E597" t="s">
        <v>47</v>
      </c>
      <c r="F597" t="s">
        <v>1468</v>
      </c>
      <c r="G597" t="str">
        <f>"00207437"</f>
        <v>00207437</v>
      </c>
      <c r="H597">
        <v>28.8</v>
      </c>
      <c r="I597">
        <v>10</v>
      </c>
      <c r="J597">
        <v>8</v>
      </c>
      <c r="M597">
        <v>4</v>
      </c>
      <c r="N597">
        <v>8</v>
      </c>
      <c r="O597">
        <v>0</v>
      </c>
      <c r="P597">
        <v>50.8</v>
      </c>
      <c r="Q597">
        <v>33</v>
      </c>
      <c r="R597">
        <v>33</v>
      </c>
      <c r="S597">
        <v>6</v>
      </c>
      <c r="T597">
        <v>0</v>
      </c>
      <c r="U597" s="1">
        <v>0</v>
      </c>
      <c r="V597">
        <v>89.8</v>
      </c>
    </row>
    <row r="598" spans="1:22" ht="15">
      <c r="A598" s="4">
        <v>591</v>
      </c>
      <c r="B598">
        <v>2088</v>
      </c>
      <c r="C598" t="s">
        <v>1469</v>
      </c>
      <c r="D598" t="s">
        <v>76</v>
      </c>
      <c r="E598" t="s">
        <v>157</v>
      </c>
      <c r="F598" t="s">
        <v>1470</v>
      </c>
      <c r="G598" t="str">
        <f>"00441835"</f>
        <v>00441835</v>
      </c>
      <c r="H598">
        <v>64.8</v>
      </c>
      <c r="I598">
        <v>0</v>
      </c>
      <c r="L598">
        <v>4</v>
      </c>
      <c r="M598">
        <v>4</v>
      </c>
      <c r="N598">
        <v>4</v>
      </c>
      <c r="O598">
        <v>0</v>
      </c>
      <c r="P598">
        <v>72.8</v>
      </c>
      <c r="Q598">
        <v>17</v>
      </c>
      <c r="R598">
        <v>17</v>
      </c>
      <c r="S598">
        <v>0</v>
      </c>
      <c r="T598">
        <v>0</v>
      </c>
      <c r="U598" s="1">
        <v>0</v>
      </c>
      <c r="V598">
        <v>89.8</v>
      </c>
    </row>
    <row r="599" spans="1:22" ht="15">
      <c r="A599" s="4">
        <v>592</v>
      </c>
      <c r="B599">
        <v>323</v>
      </c>
      <c r="C599" t="s">
        <v>1471</v>
      </c>
      <c r="D599" t="s">
        <v>14</v>
      </c>
      <c r="E599" t="s">
        <v>73</v>
      </c>
      <c r="F599" t="s">
        <v>1472</v>
      </c>
      <c r="G599" t="str">
        <f>"00477107"</f>
        <v>00477107</v>
      </c>
      <c r="H599">
        <v>20.8</v>
      </c>
      <c r="I599">
        <v>0</v>
      </c>
      <c r="M599">
        <v>4</v>
      </c>
      <c r="N599">
        <v>0</v>
      </c>
      <c r="O599">
        <v>0</v>
      </c>
      <c r="P599">
        <v>24.8</v>
      </c>
      <c r="Q599">
        <v>29</v>
      </c>
      <c r="R599">
        <v>29</v>
      </c>
      <c r="S599">
        <v>6</v>
      </c>
      <c r="T599">
        <v>30</v>
      </c>
      <c r="U599" s="1">
        <v>0</v>
      </c>
      <c r="V599">
        <v>89.8</v>
      </c>
    </row>
    <row r="600" spans="1:22" ht="15">
      <c r="A600" s="4">
        <v>593</v>
      </c>
      <c r="B600">
        <v>91</v>
      </c>
      <c r="C600" t="s">
        <v>708</v>
      </c>
      <c r="D600" t="s">
        <v>68</v>
      </c>
      <c r="E600" t="s">
        <v>403</v>
      </c>
      <c r="F600" t="s">
        <v>1473</v>
      </c>
      <c r="G600" t="str">
        <f>"201511039246"</f>
        <v>201511039246</v>
      </c>
      <c r="H600">
        <v>33.8</v>
      </c>
      <c r="I600">
        <v>10</v>
      </c>
      <c r="J600">
        <v>8</v>
      </c>
      <c r="M600">
        <v>4</v>
      </c>
      <c r="N600">
        <v>8</v>
      </c>
      <c r="O600">
        <v>0</v>
      </c>
      <c r="P600">
        <v>55.8</v>
      </c>
      <c r="Q600">
        <v>34</v>
      </c>
      <c r="R600">
        <v>34</v>
      </c>
      <c r="S600">
        <v>0</v>
      </c>
      <c r="T600">
        <v>0</v>
      </c>
      <c r="U600" s="1">
        <v>0</v>
      </c>
      <c r="V600">
        <v>89.8</v>
      </c>
    </row>
    <row r="601" spans="1:22" ht="15">
      <c r="A601" s="4">
        <v>594</v>
      </c>
      <c r="B601">
        <v>1776</v>
      </c>
      <c r="C601" t="s">
        <v>1474</v>
      </c>
      <c r="D601" t="s">
        <v>259</v>
      </c>
      <c r="E601" t="s">
        <v>30</v>
      </c>
      <c r="F601" t="s">
        <v>1475</v>
      </c>
      <c r="G601" t="str">
        <f>"00162223"</f>
        <v>00162223</v>
      </c>
      <c r="H601">
        <v>37.6</v>
      </c>
      <c r="I601">
        <v>0</v>
      </c>
      <c r="M601">
        <v>4</v>
      </c>
      <c r="N601">
        <v>0</v>
      </c>
      <c r="O601">
        <v>0</v>
      </c>
      <c r="P601">
        <v>41.6</v>
      </c>
      <c r="Q601">
        <v>33</v>
      </c>
      <c r="R601">
        <v>33</v>
      </c>
      <c r="S601">
        <v>15</v>
      </c>
      <c r="T601">
        <v>0</v>
      </c>
      <c r="U601" s="1">
        <v>0</v>
      </c>
      <c r="V601">
        <v>89.6</v>
      </c>
    </row>
    <row r="602" spans="1:22" ht="15">
      <c r="A602" s="4">
        <v>595</v>
      </c>
      <c r="B602">
        <v>3329</v>
      </c>
      <c r="C602" t="s">
        <v>1476</v>
      </c>
      <c r="D602" t="s">
        <v>706</v>
      </c>
      <c r="E602" t="s">
        <v>59</v>
      </c>
      <c r="F602" t="s">
        <v>1477</v>
      </c>
      <c r="G602" t="str">
        <f>"201604006086"</f>
        <v>201604006086</v>
      </c>
      <c r="H602">
        <v>50.4</v>
      </c>
      <c r="I602">
        <v>0</v>
      </c>
      <c r="M602">
        <v>4</v>
      </c>
      <c r="N602">
        <v>0</v>
      </c>
      <c r="O602">
        <v>0</v>
      </c>
      <c r="P602">
        <v>54.4</v>
      </c>
      <c r="Q602">
        <v>26</v>
      </c>
      <c r="R602">
        <v>26</v>
      </c>
      <c r="S602">
        <v>9</v>
      </c>
      <c r="T602">
        <v>0</v>
      </c>
      <c r="U602" s="1">
        <v>0</v>
      </c>
      <c r="V602">
        <v>89.4</v>
      </c>
    </row>
    <row r="603" spans="1:22" ht="15">
      <c r="A603" s="4">
        <v>596</v>
      </c>
      <c r="B603">
        <v>515</v>
      </c>
      <c r="C603" t="s">
        <v>1478</v>
      </c>
      <c r="D603" t="s">
        <v>40</v>
      </c>
      <c r="E603" t="s">
        <v>55</v>
      </c>
      <c r="F603" t="s">
        <v>1479</v>
      </c>
      <c r="G603" t="str">
        <f>"00524974"</f>
        <v>00524974</v>
      </c>
      <c r="H603">
        <v>32.36</v>
      </c>
      <c r="I603">
        <v>0</v>
      </c>
      <c r="M603">
        <v>4</v>
      </c>
      <c r="N603">
        <v>0</v>
      </c>
      <c r="O603">
        <v>0</v>
      </c>
      <c r="P603">
        <v>36.36</v>
      </c>
      <c r="Q603">
        <v>47</v>
      </c>
      <c r="R603">
        <v>47</v>
      </c>
      <c r="S603">
        <v>6</v>
      </c>
      <c r="T603">
        <v>0</v>
      </c>
      <c r="U603" s="1">
        <v>0</v>
      </c>
      <c r="V603">
        <v>89.36</v>
      </c>
    </row>
    <row r="604" spans="1:22" ht="15">
      <c r="A604" s="4">
        <v>597</v>
      </c>
      <c r="B604">
        <v>1496</v>
      </c>
      <c r="C604" t="s">
        <v>1480</v>
      </c>
      <c r="D604" t="s">
        <v>1378</v>
      </c>
      <c r="E604" t="s">
        <v>51</v>
      </c>
      <c r="F604" t="s">
        <v>1481</v>
      </c>
      <c r="G604" t="str">
        <f>"00161269"</f>
        <v>00161269</v>
      </c>
      <c r="H604">
        <v>7.2</v>
      </c>
      <c r="I604">
        <v>0</v>
      </c>
      <c r="M604">
        <v>0</v>
      </c>
      <c r="N604">
        <v>0</v>
      </c>
      <c r="O604">
        <v>0</v>
      </c>
      <c r="P604">
        <v>7.2</v>
      </c>
      <c r="Q604">
        <v>79</v>
      </c>
      <c r="R604">
        <v>79</v>
      </c>
      <c r="S604">
        <v>3</v>
      </c>
      <c r="T604">
        <v>0</v>
      </c>
      <c r="U604" s="1">
        <v>0</v>
      </c>
      <c r="V604">
        <v>89.2</v>
      </c>
    </row>
    <row r="605" spans="1:22" ht="15">
      <c r="A605" s="4">
        <v>598</v>
      </c>
      <c r="B605">
        <v>162</v>
      </c>
      <c r="C605" t="s">
        <v>1482</v>
      </c>
      <c r="D605" t="s">
        <v>89</v>
      </c>
      <c r="E605" t="s">
        <v>30</v>
      </c>
      <c r="F605" t="s">
        <v>1483</v>
      </c>
      <c r="G605" t="str">
        <f>"201510004072"</f>
        <v>201510004072</v>
      </c>
      <c r="H605">
        <v>37.2</v>
      </c>
      <c r="I605">
        <v>0</v>
      </c>
      <c r="L605">
        <v>4</v>
      </c>
      <c r="M605">
        <v>4</v>
      </c>
      <c r="N605">
        <v>4</v>
      </c>
      <c r="O605">
        <v>0</v>
      </c>
      <c r="P605">
        <v>45.2</v>
      </c>
      <c r="Q605">
        <v>32</v>
      </c>
      <c r="R605">
        <v>32</v>
      </c>
      <c r="S605">
        <v>12</v>
      </c>
      <c r="T605">
        <v>0</v>
      </c>
      <c r="U605" s="1">
        <v>0</v>
      </c>
      <c r="V605">
        <v>89.2</v>
      </c>
    </row>
    <row r="606" spans="1:22" ht="15">
      <c r="A606" s="4">
        <v>599</v>
      </c>
      <c r="B606">
        <v>2859</v>
      </c>
      <c r="C606" t="s">
        <v>1484</v>
      </c>
      <c r="D606" t="s">
        <v>1485</v>
      </c>
      <c r="E606" t="s">
        <v>1486</v>
      </c>
      <c r="F606" t="s">
        <v>1487</v>
      </c>
      <c r="G606" t="str">
        <f>"20160702373"</f>
        <v>20160702373</v>
      </c>
      <c r="H606">
        <v>72</v>
      </c>
      <c r="I606">
        <v>0</v>
      </c>
      <c r="L606">
        <v>4</v>
      </c>
      <c r="M606">
        <v>4</v>
      </c>
      <c r="N606">
        <v>4</v>
      </c>
      <c r="O606">
        <v>0</v>
      </c>
      <c r="P606">
        <v>80</v>
      </c>
      <c r="Q606">
        <v>0</v>
      </c>
      <c r="R606">
        <v>0</v>
      </c>
      <c r="S606">
        <v>9</v>
      </c>
      <c r="T606">
        <v>0</v>
      </c>
      <c r="U606" s="1">
        <v>0</v>
      </c>
      <c r="V606">
        <v>89</v>
      </c>
    </row>
    <row r="607" spans="1:22" ht="15">
      <c r="A607" s="4">
        <v>600</v>
      </c>
      <c r="B607">
        <v>176</v>
      </c>
      <c r="C607" t="s">
        <v>1488</v>
      </c>
      <c r="D607" t="s">
        <v>14</v>
      </c>
      <c r="E607" t="s">
        <v>41</v>
      </c>
      <c r="F607" t="s">
        <v>1489</v>
      </c>
      <c r="G607" t="str">
        <f>"00480373"</f>
        <v>00480373</v>
      </c>
      <c r="H607">
        <v>72</v>
      </c>
      <c r="I607">
        <v>0</v>
      </c>
      <c r="L607">
        <v>4</v>
      </c>
      <c r="M607">
        <v>4</v>
      </c>
      <c r="N607">
        <v>4</v>
      </c>
      <c r="O607">
        <v>0</v>
      </c>
      <c r="P607">
        <v>80</v>
      </c>
      <c r="Q607">
        <v>0</v>
      </c>
      <c r="R607">
        <v>0</v>
      </c>
      <c r="S607">
        <v>9</v>
      </c>
      <c r="T607">
        <v>0</v>
      </c>
      <c r="U607" s="1">
        <v>0</v>
      </c>
      <c r="V607">
        <v>89</v>
      </c>
    </row>
    <row r="608" spans="1:22" ht="15">
      <c r="A608" s="4">
        <v>601</v>
      </c>
      <c r="B608">
        <v>2126</v>
      </c>
      <c r="C608" t="s">
        <v>418</v>
      </c>
      <c r="D608" t="s">
        <v>189</v>
      </c>
      <c r="E608" t="s">
        <v>1007</v>
      </c>
      <c r="F608" t="s">
        <v>1490</v>
      </c>
      <c r="G608" t="str">
        <f>"00530291"</f>
        <v>00530291</v>
      </c>
      <c r="H608">
        <v>34.84</v>
      </c>
      <c r="I608">
        <v>0</v>
      </c>
      <c r="M608">
        <v>0</v>
      </c>
      <c r="N608">
        <v>0</v>
      </c>
      <c r="O608">
        <v>0</v>
      </c>
      <c r="P608">
        <v>34.84</v>
      </c>
      <c r="Q608">
        <v>48</v>
      </c>
      <c r="R608">
        <v>48</v>
      </c>
      <c r="S608">
        <v>6</v>
      </c>
      <c r="T608">
        <v>0</v>
      </c>
      <c r="U608" s="1">
        <v>0</v>
      </c>
      <c r="V608">
        <v>88.84</v>
      </c>
    </row>
    <row r="609" spans="1:22" ht="15">
      <c r="A609" s="4">
        <v>602</v>
      </c>
      <c r="B609">
        <v>2864</v>
      </c>
      <c r="C609" t="s">
        <v>1491</v>
      </c>
      <c r="D609" t="s">
        <v>1492</v>
      </c>
      <c r="E609" t="s">
        <v>675</v>
      </c>
      <c r="F609" t="s">
        <v>1493</v>
      </c>
      <c r="G609" t="str">
        <f>"00499006"</f>
        <v>00499006</v>
      </c>
      <c r="H609">
        <v>64.8</v>
      </c>
      <c r="I609">
        <v>0</v>
      </c>
      <c r="J609">
        <v>8</v>
      </c>
      <c r="L609">
        <v>4</v>
      </c>
      <c r="M609">
        <v>4</v>
      </c>
      <c r="N609">
        <v>12</v>
      </c>
      <c r="O609">
        <v>0</v>
      </c>
      <c r="P609">
        <v>80.8</v>
      </c>
      <c r="Q609">
        <v>8</v>
      </c>
      <c r="R609">
        <v>8</v>
      </c>
      <c r="S609">
        <v>0</v>
      </c>
      <c r="T609">
        <v>0</v>
      </c>
      <c r="U609" s="1">
        <v>0</v>
      </c>
      <c r="V609">
        <v>88.8</v>
      </c>
    </row>
    <row r="610" spans="1:22" ht="15">
      <c r="A610" s="4">
        <v>603</v>
      </c>
      <c r="B610">
        <v>2221</v>
      </c>
      <c r="C610" t="s">
        <v>1494</v>
      </c>
      <c r="D610" t="s">
        <v>76</v>
      </c>
      <c r="E610" t="s">
        <v>90</v>
      </c>
      <c r="F610" t="s">
        <v>1495</v>
      </c>
      <c r="G610" t="str">
        <f>"201402000343"</f>
        <v>201402000343</v>
      </c>
      <c r="H610">
        <v>64.8</v>
      </c>
      <c r="I610">
        <v>10</v>
      </c>
      <c r="J610">
        <v>8</v>
      </c>
      <c r="M610">
        <v>4</v>
      </c>
      <c r="N610">
        <v>8</v>
      </c>
      <c r="O610">
        <v>2</v>
      </c>
      <c r="P610">
        <v>88.8</v>
      </c>
      <c r="Q610">
        <v>0</v>
      </c>
      <c r="R610">
        <v>0</v>
      </c>
      <c r="S610">
        <v>0</v>
      </c>
      <c r="T610">
        <v>0</v>
      </c>
      <c r="U610" s="1">
        <v>0</v>
      </c>
      <c r="V610">
        <v>88.8</v>
      </c>
    </row>
    <row r="611" spans="1:22" ht="15">
      <c r="A611" s="4">
        <v>604</v>
      </c>
      <c r="B611">
        <v>1572</v>
      </c>
      <c r="C611" t="s">
        <v>1496</v>
      </c>
      <c r="D611" t="s">
        <v>26</v>
      </c>
      <c r="E611" t="s">
        <v>1497</v>
      </c>
      <c r="F611" t="s">
        <v>1498</v>
      </c>
      <c r="G611" t="str">
        <f>"201406009094"</f>
        <v>201406009094</v>
      </c>
      <c r="H611">
        <v>38.68</v>
      </c>
      <c r="I611">
        <v>0</v>
      </c>
      <c r="L611">
        <v>4</v>
      </c>
      <c r="M611">
        <v>4</v>
      </c>
      <c r="N611">
        <v>4</v>
      </c>
      <c r="O611">
        <v>0</v>
      </c>
      <c r="P611">
        <v>46.68</v>
      </c>
      <c r="Q611">
        <v>36</v>
      </c>
      <c r="R611">
        <v>36</v>
      </c>
      <c r="S611">
        <v>6</v>
      </c>
      <c r="T611">
        <v>0</v>
      </c>
      <c r="U611" s="1">
        <v>0</v>
      </c>
      <c r="V611">
        <v>88.68</v>
      </c>
    </row>
    <row r="612" spans="1:22" ht="15">
      <c r="A612" s="4">
        <v>605</v>
      </c>
      <c r="B612">
        <v>2767</v>
      </c>
      <c r="C612" t="s">
        <v>718</v>
      </c>
      <c r="D612" t="s">
        <v>89</v>
      </c>
      <c r="E612" t="s">
        <v>11</v>
      </c>
      <c r="F612" t="s">
        <v>1499</v>
      </c>
      <c r="G612" t="str">
        <f>"00517020"</f>
        <v>00517020</v>
      </c>
      <c r="H612">
        <v>50.4</v>
      </c>
      <c r="I612">
        <v>0</v>
      </c>
      <c r="L612">
        <v>8</v>
      </c>
      <c r="M612">
        <v>4</v>
      </c>
      <c r="N612">
        <v>8</v>
      </c>
      <c r="O612">
        <v>0</v>
      </c>
      <c r="P612">
        <v>62.4</v>
      </c>
      <c r="Q612">
        <v>26</v>
      </c>
      <c r="R612">
        <v>26</v>
      </c>
      <c r="S612">
        <v>0</v>
      </c>
      <c r="T612">
        <v>0</v>
      </c>
      <c r="U612" s="1">
        <v>0</v>
      </c>
      <c r="V612">
        <v>88.4</v>
      </c>
    </row>
    <row r="613" spans="1:22" ht="15">
      <c r="A613" s="4">
        <v>606</v>
      </c>
      <c r="B613">
        <v>199</v>
      </c>
      <c r="C613" t="s">
        <v>1500</v>
      </c>
      <c r="D613" t="s">
        <v>68</v>
      </c>
      <c r="E613" t="s">
        <v>30</v>
      </c>
      <c r="F613" t="s">
        <v>1501</v>
      </c>
      <c r="G613" t="str">
        <f>"00531188"</f>
        <v>00531188</v>
      </c>
      <c r="H613">
        <v>50.4</v>
      </c>
      <c r="I613">
        <v>10</v>
      </c>
      <c r="L613">
        <v>4</v>
      </c>
      <c r="M613">
        <v>4</v>
      </c>
      <c r="N613">
        <v>4</v>
      </c>
      <c r="O613">
        <v>0</v>
      </c>
      <c r="P613">
        <v>68.4</v>
      </c>
      <c r="Q613">
        <v>14</v>
      </c>
      <c r="R613">
        <v>14</v>
      </c>
      <c r="S613">
        <v>6</v>
      </c>
      <c r="T613">
        <v>0</v>
      </c>
      <c r="U613" s="1">
        <v>0</v>
      </c>
      <c r="V613">
        <v>88.4</v>
      </c>
    </row>
    <row r="614" spans="1:22" ht="15">
      <c r="A614" s="4">
        <v>607</v>
      </c>
      <c r="B614">
        <v>2364</v>
      </c>
      <c r="C614" t="s">
        <v>1502</v>
      </c>
      <c r="D614" t="s">
        <v>76</v>
      </c>
      <c r="E614" t="s">
        <v>19</v>
      </c>
      <c r="F614" t="s">
        <v>1503</v>
      </c>
      <c r="G614" t="str">
        <f>"00502609"</f>
        <v>00502609</v>
      </c>
      <c r="H614">
        <v>14.4</v>
      </c>
      <c r="I614">
        <v>0</v>
      </c>
      <c r="L614">
        <v>4</v>
      </c>
      <c r="M614">
        <v>4</v>
      </c>
      <c r="N614">
        <v>4</v>
      </c>
      <c r="O614">
        <v>0</v>
      </c>
      <c r="P614">
        <v>22.4</v>
      </c>
      <c r="Q614">
        <v>60</v>
      </c>
      <c r="R614">
        <v>60</v>
      </c>
      <c r="S614">
        <v>6</v>
      </c>
      <c r="T614">
        <v>0</v>
      </c>
      <c r="U614" s="1">
        <v>0</v>
      </c>
      <c r="V614">
        <v>88.4</v>
      </c>
    </row>
    <row r="615" spans="1:22" ht="15">
      <c r="A615" s="4">
        <v>608</v>
      </c>
      <c r="B615">
        <v>2383</v>
      </c>
      <c r="C615" t="s">
        <v>1504</v>
      </c>
      <c r="D615" t="s">
        <v>1006</v>
      </c>
      <c r="E615" t="s">
        <v>41</v>
      </c>
      <c r="F615" t="s">
        <v>1505</v>
      </c>
      <c r="G615" t="str">
        <f>"00159641"</f>
        <v>00159641</v>
      </c>
      <c r="H615">
        <v>43.2</v>
      </c>
      <c r="I615">
        <v>0</v>
      </c>
      <c r="L615">
        <v>4</v>
      </c>
      <c r="M615">
        <v>4</v>
      </c>
      <c r="N615">
        <v>4</v>
      </c>
      <c r="O615">
        <v>2</v>
      </c>
      <c r="P615">
        <v>53.2</v>
      </c>
      <c r="Q615">
        <v>35</v>
      </c>
      <c r="R615">
        <v>35</v>
      </c>
      <c r="S615">
        <v>0</v>
      </c>
      <c r="T615">
        <v>0</v>
      </c>
      <c r="U615" s="1">
        <v>0</v>
      </c>
      <c r="V615">
        <v>88.2</v>
      </c>
    </row>
    <row r="616" spans="1:22" ht="15">
      <c r="A616" s="4">
        <v>609</v>
      </c>
      <c r="B616">
        <v>550</v>
      </c>
      <c r="C616" t="s">
        <v>1506</v>
      </c>
      <c r="D616" t="s">
        <v>273</v>
      </c>
      <c r="E616" t="s">
        <v>55</v>
      </c>
      <c r="F616" t="s">
        <v>1507</v>
      </c>
      <c r="G616" t="str">
        <f>"200802006531"</f>
        <v>200802006531</v>
      </c>
      <c r="H616">
        <v>43.2</v>
      </c>
      <c r="I616">
        <v>0</v>
      </c>
      <c r="K616">
        <v>6</v>
      </c>
      <c r="M616">
        <v>0</v>
      </c>
      <c r="N616">
        <v>6</v>
      </c>
      <c r="O616">
        <v>0</v>
      </c>
      <c r="P616">
        <v>49.2</v>
      </c>
      <c r="Q616">
        <v>33</v>
      </c>
      <c r="R616">
        <v>33</v>
      </c>
      <c r="S616">
        <v>6</v>
      </c>
      <c r="T616">
        <v>0</v>
      </c>
      <c r="U616" s="1">
        <v>0</v>
      </c>
      <c r="V616">
        <v>88.2</v>
      </c>
    </row>
    <row r="617" spans="1:22" ht="15">
      <c r="A617" s="4">
        <v>610</v>
      </c>
      <c r="B617">
        <v>444</v>
      </c>
      <c r="C617" t="s">
        <v>834</v>
      </c>
      <c r="D617" t="s">
        <v>1508</v>
      </c>
      <c r="E617" t="s">
        <v>593</v>
      </c>
      <c r="F617" t="s">
        <v>1509</v>
      </c>
      <c r="G617" t="str">
        <f>"00095948"</f>
        <v>00095948</v>
      </c>
      <c r="H617">
        <v>28</v>
      </c>
      <c r="I617">
        <v>0</v>
      </c>
      <c r="L617">
        <v>4</v>
      </c>
      <c r="M617">
        <v>4</v>
      </c>
      <c r="N617">
        <v>4</v>
      </c>
      <c r="O617">
        <v>2</v>
      </c>
      <c r="P617">
        <v>38</v>
      </c>
      <c r="Q617">
        <v>44</v>
      </c>
      <c r="R617">
        <v>44</v>
      </c>
      <c r="S617">
        <v>6</v>
      </c>
      <c r="T617">
        <v>0</v>
      </c>
      <c r="U617" s="1">
        <v>0</v>
      </c>
      <c r="V617">
        <v>88</v>
      </c>
    </row>
    <row r="618" spans="1:22" ht="15">
      <c r="A618" s="4">
        <v>611</v>
      </c>
      <c r="B618">
        <v>1753</v>
      </c>
      <c r="C618" t="s">
        <v>1510</v>
      </c>
      <c r="D618" t="s">
        <v>127</v>
      </c>
      <c r="E618" t="s">
        <v>73</v>
      </c>
      <c r="F618" t="s">
        <v>1511</v>
      </c>
      <c r="G618" t="str">
        <f>"00482561"</f>
        <v>00482561</v>
      </c>
      <c r="H618">
        <v>72</v>
      </c>
      <c r="I618">
        <v>0</v>
      </c>
      <c r="L618">
        <v>4</v>
      </c>
      <c r="M618">
        <v>4</v>
      </c>
      <c r="N618">
        <v>4</v>
      </c>
      <c r="O618">
        <v>0</v>
      </c>
      <c r="P618">
        <v>80</v>
      </c>
      <c r="Q618">
        <v>8</v>
      </c>
      <c r="R618">
        <v>8</v>
      </c>
      <c r="S618">
        <v>0</v>
      </c>
      <c r="T618">
        <v>0</v>
      </c>
      <c r="U618" s="1">
        <v>0</v>
      </c>
      <c r="V618">
        <v>88</v>
      </c>
    </row>
    <row r="619" spans="1:22" ht="15">
      <c r="A619" s="4">
        <v>612</v>
      </c>
      <c r="B619">
        <v>3425</v>
      </c>
      <c r="C619" t="s">
        <v>780</v>
      </c>
      <c r="D619" t="s">
        <v>40</v>
      </c>
      <c r="E619" t="s">
        <v>51</v>
      </c>
      <c r="F619" t="s">
        <v>1512</v>
      </c>
      <c r="G619" t="str">
        <f>"00116850"</f>
        <v>00116850</v>
      </c>
      <c r="H619">
        <v>72</v>
      </c>
      <c r="I619">
        <v>0</v>
      </c>
      <c r="J619">
        <v>8</v>
      </c>
      <c r="L619">
        <v>4</v>
      </c>
      <c r="M619">
        <v>4</v>
      </c>
      <c r="N619">
        <v>12</v>
      </c>
      <c r="O619">
        <v>0</v>
      </c>
      <c r="P619">
        <v>88</v>
      </c>
      <c r="Q619">
        <v>0</v>
      </c>
      <c r="R619">
        <v>0</v>
      </c>
      <c r="S619">
        <v>0</v>
      </c>
      <c r="T619">
        <v>0</v>
      </c>
      <c r="U619" s="1">
        <v>0</v>
      </c>
      <c r="V619">
        <v>88</v>
      </c>
    </row>
    <row r="620" spans="1:22" ht="15">
      <c r="A620" s="4">
        <v>613</v>
      </c>
      <c r="B620">
        <v>2365</v>
      </c>
      <c r="C620" t="s">
        <v>1513</v>
      </c>
      <c r="D620" t="s">
        <v>1514</v>
      </c>
      <c r="E620" t="s">
        <v>51</v>
      </c>
      <c r="F620" t="s">
        <v>1515</v>
      </c>
      <c r="G620" t="str">
        <f>"00514098"</f>
        <v>00514098</v>
      </c>
      <c r="H620">
        <v>72</v>
      </c>
      <c r="I620">
        <v>0</v>
      </c>
      <c r="L620">
        <v>4</v>
      </c>
      <c r="M620">
        <v>4</v>
      </c>
      <c r="N620">
        <v>4</v>
      </c>
      <c r="O620">
        <v>0</v>
      </c>
      <c r="P620">
        <v>80</v>
      </c>
      <c r="Q620">
        <v>8</v>
      </c>
      <c r="R620">
        <v>8</v>
      </c>
      <c r="S620">
        <v>0</v>
      </c>
      <c r="T620">
        <v>0</v>
      </c>
      <c r="U620" s="1">
        <v>0</v>
      </c>
      <c r="V620">
        <v>88</v>
      </c>
    </row>
    <row r="621" spans="1:22" ht="15">
      <c r="A621" s="4">
        <v>614</v>
      </c>
      <c r="B621">
        <v>3036</v>
      </c>
      <c r="C621" t="s">
        <v>1516</v>
      </c>
      <c r="D621" t="s">
        <v>22</v>
      </c>
      <c r="E621" t="s">
        <v>19</v>
      </c>
      <c r="F621" t="s">
        <v>1517</v>
      </c>
      <c r="G621" t="str">
        <f>"00530747"</f>
        <v>00530747</v>
      </c>
      <c r="H621">
        <v>40</v>
      </c>
      <c r="I621">
        <v>0</v>
      </c>
      <c r="M621">
        <v>0</v>
      </c>
      <c r="N621">
        <v>0</v>
      </c>
      <c r="O621">
        <v>0</v>
      </c>
      <c r="P621">
        <v>40</v>
      </c>
      <c r="Q621">
        <v>48</v>
      </c>
      <c r="R621">
        <v>48</v>
      </c>
      <c r="S621">
        <v>0</v>
      </c>
      <c r="T621">
        <v>0</v>
      </c>
      <c r="U621" s="1">
        <v>0</v>
      </c>
      <c r="V621">
        <v>88</v>
      </c>
    </row>
    <row r="622" spans="1:22" ht="15">
      <c r="A622" s="4">
        <v>615</v>
      </c>
      <c r="B622">
        <v>2257</v>
      </c>
      <c r="C622" t="s">
        <v>1518</v>
      </c>
      <c r="D622" t="s">
        <v>511</v>
      </c>
      <c r="E622" t="s">
        <v>23</v>
      </c>
      <c r="F622" t="s">
        <v>1519</v>
      </c>
      <c r="G622" t="str">
        <f>"00147619"</f>
        <v>00147619</v>
      </c>
      <c r="H622">
        <v>64.8</v>
      </c>
      <c r="I622">
        <v>10</v>
      </c>
      <c r="M622">
        <v>4</v>
      </c>
      <c r="N622">
        <v>0</v>
      </c>
      <c r="O622">
        <v>2</v>
      </c>
      <c r="P622">
        <v>80.8</v>
      </c>
      <c r="Q622">
        <v>4</v>
      </c>
      <c r="R622">
        <v>4</v>
      </c>
      <c r="S622">
        <v>3</v>
      </c>
      <c r="T622">
        <v>0</v>
      </c>
      <c r="U622" s="1">
        <v>0</v>
      </c>
      <c r="V622">
        <v>87.8</v>
      </c>
    </row>
    <row r="623" spans="1:22" ht="15">
      <c r="A623" s="4">
        <v>616</v>
      </c>
      <c r="B623">
        <v>640</v>
      </c>
      <c r="C623" t="s">
        <v>1520</v>
      </c>
      <c r="D623" t="s">
        <v>102</v>
      </c>
      <c r="E623" t="s">
        <v>51</v>
      </c>
      <c r="F623" t="s">
        <v>1521</v>
      </c>
      <c r="G623" t="str">
        <f>"00507273"</f>
        <v>00507273</v>
      </c>
      <c r="H623">
        <v>64.8</v>
      </c>
      <c r="I623">
        <v>0</v>
      </c>
      <c r="J623">
        <v>8</v>
      </c>
      <c r="M623">
        <v>4</v>
      </c>
      <c r="N623">
        <v>8</v>
      </c>
      <c r="O623">
        <v>2</v>
      </c>
      <c r="P623">
        <v>78.8</v>
      </c>
      <c r="Q623">
        <v>0</v>
      </c>
      <c r="R623">
        <v>0</v>
      </c>
      <c r="S623">
        <v>9</v>
      </c>
      <c r="T623">
        <v>0</v>
      </c>
      <c r="U623" s="1">
        <v>0</v>
      </c>
      <c r="V623">
        <v>87.8</v>
      </c>
    </row>
    <row r="624" spans="1:22" ht="15">
      <c r="A624" s="4">
        <v>617</v>
      </c>
      <c r="B624">
        <v>2087</v>
      </c>
      <c r="C624" t="s">
        <v>1522</v>
      </c>
      <c r="D624" t="s">
        <v>121</v>
      </c>
      <c r="E624" t="s">
        <v>73</v>
      </c>
      <c r="F624" t="s">
        <v>1523</v>
      </c>
      <c r="G624" t="str">
        <f>"201511033492"</f>
        <v>201511033492</v>
      </c>
      <c r="H624">
        <v>31.64</v>
      </c>
      <c r="I624">
        <v>0</v>
      </c>
      <c r="M624">
        <v>0</v>
      </c>
      <c r="N624">
        <v>0</v>
      </c>
      <c r="O624">
        <v>0</v>
      </c>
      <c r="P624">
        <v>31.64</v>
      </c>
      <c r="Q624">
        <v>50</v>
      </c>
      <c r="R624">
        <v>50</v>
      </c>
      <c r="S624">
        <v>6</v>
      </c>
      <c r="T624">
        <v>0</v>
      </c>
      <c r="U624" s="1">
        <v>0</v>
      </c>
      <c r="V624">
        <v>87.64</v>
      </c>
    </row>
    <row r="625" spans="1:22" ht="15">
      <c r="A625" s="4">
        <v>618</v>
      </c>
      <c r="B625">
        <v>2832</v>
      </c>
      <c r="C625" t="s">
        <v>1524</v>
      </c>
      <c r="D625" t="s">
        <v>179</v>
      </c>
      <c r="E625" t="s">
        <v>19</v>
      </c>
      <c r="F625" t="s">
        <v>1525</v>
      </c>
      <c r="G625" t="str">
        <f>"00516302"</f>
        <v>00516302</v>
      </c>
      <c r="H625">
        <v>57.6</v>
      </c>
      <c r="I625">
        <v>0</v>
      </c>
      <c r="M625">
        <v>4</v>
      </c>
      <c r="N625">
        <v>0</v>
      </c>
      <c r="O625">
        <v>0</v>
      </c>
      <c r="P625">
        <v>61.6</v>
      </c>
      <c r="Q625">
        <v>26</v>
      </c>
      <c r="R625">
        <v>26</v>
      </c>
      <c r="S625">
        <v>0</v>
      </c>
      <c r="T625">
        <v>0</v>
      </c>
      <c r="U625" s="1">
        <v>0</v>
      </c>
      <c r="V625">
        <v>87.6</v>
      </c>
    </row>
    <row r="626" spans="1:22" ht="15">
      <c r="A626" s="4">
        <v>619</v>
      </c>
      <c r="B626">
        <v>2631</v>
      </c>
      <c r="C626" t="s">
        <v>1526</v>
      </c>
      <c r="D626" t="s">
        <v>1527</v>
      </c>
      <c r="E626" t="s">
        <v>11</v>
      </c>
      <c r="F626" t="s">
        <v>1528</v>
      </c>
      <c r="G626" t="str">
        <f>"00524348"</f>
        <v>00524348</v>
      </c>
      <c r="H626">
        <v>57.6</v>
      </c>
      <c r="I626">
        <v>0</v>
      </c>
      <c r="M626">
        <v>4</v>
      </c>
      <c r="N626">
        <v>0</v>
      </c>
      <c r="O626">
        <v>0</v>
      </c>
      <c r="P626">
        <v>61.6</v>
      </c>
      <c r="Q626">
        <v>26</v>
      </c>
      <c r="R626">
        <v>26</v>
      </c>
      <c r="S626">
        <v>0</v>
      </c>
      <c r="T626">
        <v>0</v>
      </c>
      <c r="U626" s="1">
        <v>0</v>
      </c>
      <c r="V626">
        <v>87.6</v>
      </c>
    </row>
    <row r="627" spans="1:22" ht="15">
      <c r="A627" s="4">
        <v>620</v>
      </c>
      <c r="B627">
        <v>1099</v>
      </c>
      <c r="C627" t="s">
        <v>1529</v>
      </c>
      <c r="D627" t="s">
        <v>40</v>
      </c>
      <c r="E627" t="s">
        <v>23</v>
      </c>
      <c r="F627" t="s">
        <v>1530</v>
      </c>
      <c r="G627" t="str">
        <f>"00480029"</f>
        <v>00480029</v>
      </c>
      <c r="H627">
        <v>36.6</v>
      </c>
      <c r="I627">
        <v>10</v>
      </c>
      <c r="M627">
        <v>4</v>
      </c>
      <c r="N627">
        <v>0</v>
      </c>
      <c r="O627">
        <v>0</v>
      </c>
      <c r="P627">
        <v>50.6</v>
      </c>
      <c r="Q627">
        <v>31</v>
      </c>
      <c r="R627">
        <v>31</v>
      </c>
      <c r="S627">
        <v>6</v>
      </c>
      <c r="T627">
        <v>0</v>
      </c>
      <c r="U627" s="1">
        <v>0</v>
      </c>
      <c r="V627">
        <v>87.6</v>
      </c>
    </row>
    <row r="628" spans="1:22" ht="15">
      <c r="A628" s="4">
        <v>621</v>
      </c>
      <c r="B628">
        <v>1832</v>
      </c>
      <c r="C628" t="s">
        <v>1531</v>
      </c>
      <c r="D628" t="s">
        <v>102</v>
      </c>
      <c r="E628" t="s">
        <v>358</v>
      </c>
      <c r="F628" t="s">
        <v>1532</v>
      </c>
      <c r="G628" t="str">
        <f>"00150403"</f>
        <v>00150403</v>
      </c>
      <c r="H628">
        <v>21.6</v>
      </c>
      <c r="I628">
        <v>0</v>
      </c>
      <c r="L628">
        <v>4</v>
      </c>
      <c r="M628">
        <v>4</v>
      </c>
      <c r="N628">
        <v>4</v>
      </c>
      <c r="O628">
        <v>2</v>
      </c>
      <c r="P628">
        <v>31.6</v>
      </c>
      <c r="Q628">
        <v>50</v>
      </c>
      <c r="R628">
        <v>50</v>
      </c>
      <c r="S628">
        <v>6</v>
      </c>
      <c r="T628">
        <v>0</v>
      </c>
      <c r="U628" s="1">
        <v>0</v>
      </c>
      <c r="V628">
        <v>87.6</v>
      </c>
    </row>
    <row r="629" spans="1:22" ht="15">
      <c r="A629" s="4">
        <v>622</v>
      </c>
      <c r="B629">
        <v>749</v>
      </c>
      <c r="C629" t="s">
        <v>96</v>
      </c>
      <c r="D629" t="s">
        <v>127</v>
      </c>
      <c r="E629" t="s">
        <v>499</v>
      </c>
      <c r="F629" t="s">
        <v>1533</v>
      </c>
      <c r="G629" t="str">
        <f>"00532313"</f>
        <v>00532313</v>
      </c>
      <c r="H629">
        <v>57.6</v>
      </c>
      <c r="I629">
        <v>0</v>
      </c>
      <c r="L629">
        <v>4</v>
      </c>
      <c r="M629">
        <v>4</v>
      </c>
      <c r="N629">
        <v>4</v>
      </c>
      <c r="O629">
        <v>0</v>
      </c>
      <c r="P629">
        <v>65.6</v>
      </c>
      <c r="Q629">
        <v>22</v>
      </c>
      <c r="R629">
        <v>22</v>
      </c>
      <c r="S629">
        <v>0</v>
      </c>
      <c r="T629">
        <v>0</v>
      </c>
      <c r="U629" s="1">
        <v>0</v>
      </c>
      <c r="V629">
        <v>87.6</v>
      </c>
    </row>
    <row r="630" spans="1:22" ht="15">
      <c r="A630" s="4">
        <v>623</v>
      </c>
      <c r="B630">
        <v>2417</v>
      </c>
      <c r="C630" t="s">
        <v>1534</v>
      </c>
      <c r="D630" t="s">
        <v>179</v>
      </c>
      <c r="E630" t="s">
        <v>83</v>
      </c>
      <c r="F630" t="s">
        <v>1535</v>
      </c>
      <c r="G630" t="str">
        <f>"00442237"</f>
        <v>00442237</v>
      </c>
      <c r="H630">
        <v>57.6</v>
      </c>
      <c r="I630">
        <v>0</v>
      </c>
      <c r="M630">
        <v>0</v>
      </c>
      <c r="N630">
        <v>0</v>
      </c>
      <c r="O630">
        <v>0</v>
      </c>
      <c r="P630">
        <v>57.6</v>
      </c>
      <c r="Q630">
        <v>27</v>
      </c>
      <c r="R630">
        <v>27</v>
      </c>
      <c r="S630">
        <v>3</v>
      </c>
      <c r="T630">
        <v>0</v>
      </c>
      <c r="U630" s="1">
        <v>0</v>
      </c>
      <c r="V630">
        <v>87.6</v>
      </c>
    </row>
    <row r="631" spans="1:22" ht="15">
      <c r="A631" s="4">
        <v>624</v>
      </c>
      <c r="B631">
        <v>1337</v>
      </c>
      <c r="C631" t="s">
        <v>1536</v>
      </c>
      <c r="D631" t="s">
        <v>14</v>
      </c>
      <c r="E631" t="s">
        <v>237</v>
      </c>
      <c r="F631" t="s">
        <v>1537</v>
      </c>
      <c r="G631" t="str">
        <f>"00511703"</f>
        <v>00511703</v>
      </c>
      <c r="H631">
        <v>35.56</v>
      </c>
      <c r="I631">
        <v>0</v>
      </c>
      <c r="M631">
        <v>0</v>
      </c>
      <c r="N631">
        <v>0</v>
      </c>
      <c r="O631">
        <v>0</v>
      </c>
      <c r="P631">
        <v>35.56</v>
      </c>
      <c r="Q631">
        <v>49</v>
      </c>
      <c r="R631">
        <v>49</v>
      </c>
      <c r="S631">
        <v>3</v>
      </c>
      <c r="T631">
        <v>0</v>
      </c>
      <c r="U631" s="1">
        <v>0</v>
      </c>
      <c r="V631">
        <v>87.56</v>
      </c>
    </row>
    <row r="632" spans="1:22" ht="15">
      <c r="A632" s="4">
        <v>625</v>
      </c>
      <c r="B632">
        <v>2621</v>
      </c>
      <c r="C632" t="s">
        <v>1538</v>
      </c>
      <c r="D632" t="s">
        <v>14</v>
      </c>
      <c r="E632" t="s">
        <v>30</v>
      </c>
      <c r="F632" t="s">
        <v>1539</v>
      </c>
      <c r="G632" t="str">
        <f>"00519828"</f>
        <v>00519828</v>
      </c>
      <c r="H632">
        <v>35.48</v>
      </c>
      <c r="I632">
        <v>10</v>
      </c>
      <c r="M632">
        <v>4</v>
      </c>
      <c r="N632">
        <v>0</v>
      </c>
      <c r="O632">
        <v>0</v>
      </c>
      <c r="P632">
        <v>49.48</v>
      </c>
      <c r="Q632">
        <v>35</v>
      </c>
      <c r="R632">
        <v>35</v>
      </c>
      <c r="S632">
        <v>3</v>
      </c>
      <c r="T632">
        <v>0</v>
      </c>
      <c r="U632" s="1">
        <v>0</v>
      </c>
      <c r="V632">
        <v>87.48</v>
      </c>
    </row>
    <row r="633" spans="1:22" ht="15">
      <c r="A633" s="4">
        <v>626</v>
      </c>
      <c r="B633">
        <v>2331</v>
      </c>
      <c r="C633" t="s">
        <v>1540</v>
      </c>
      <c r="D633" t="s">
        <v>1199</v>
      </c>
      <c r="E633" t="s">
        <v>15</v>
      </c>
      <c r="F633" t="s">
        <v>1541</v>
      </c>
      <c r="G633" t="str">
        <f>"00163333"</f>
        <v>00163333</v>
      </c>
      <c r="H633">
        <v>36.44</v>
      </c>
      <c r="I633">
        <v>10</v>
      </c>
      <c r="M633">
        <v>4</v>
      </c>
      <c r="N633">
        <v>0</v>
      </c>
      <c r="O633">
        <v>2</v>
      </c>
      <c r="P633">
        <v>52.44</v>
      </c>
      <c r="Q633">
        <v>29</v>
      </c>
      <c r="R633">
        <v>29</v>
      </c>
      <c r="S633">
        <v>6</v>
      </c>
      <c r="T633">
        <v>0</v>
      </c>
      <c r="U633" s="1">
        <v>0</v>
      </c>
      <c r="V633">
        <v>87.44</v>
      </c>
    </row>
    <row r="634" spans="1:22" ht="15">
      <c r="A634" s="4">
        <v>627</v>
      </c>
      <c r="B634">
        <v>2809</v>
      </c>
      <c r="C634" t="s">
        <v>1542</v>
      </c>
      <c r="D634" t="s">
        <v>14</v>
      </c>
      <c r="E634" t="s">
        <v>83</v>
      </c>
      <c r="F634" t="s">
        <v>1543</v>
      </c>
      <c r="G634" t="str">
        <f>"00163879"</f>
        <v>00163879</v>
      </c>
      <c r="H634">
        <v>50.4</v>
      </c>
      <c r="I634">
        <v>0</v>
      </c>
      <c r="L634">
        <v>4</v>
      </c>
      <c r="M634">
        <v>4</v>
      </c>
      <c r="N634">
        <v>4</v>
      </c>
      <c r="O634">
        <v>0</v>
      </c>
      <c r="P634">
        <v>58.4</v>
      </c>
      <c r="Q634">
        <v>29</v>
      </c>
      <c r="R634">
        <v>29</v>
      </c>
      <c r="S634">
        <v>0</v>
      </c>
      <c r="T634">
        <v>0</v>
      </c>
      <c r="U634" s="1">
        <v>0</v>
      </c>
      <c r="V634">
        <v>87.4</v>
      </c>
    </row>
    <row r="635" spans="1:22" ht="15">
      <c r="A635" s="4">
        <v>628</v>
      </c>
      <c r="B635">
        <v>2842</v>
      </c>
      <c r="C635" t="s">
        <v>1544</v>
      </c>
      <c r="D635" t="s">
        <v>1545</v>
      </c>
      <c r="E635" t="s">
        <v>90</v>
      </c>
      <c r="F635" t="s">
        <v>1546</v>
      </c>
      <c r="G635" t="str">
        <f>"00442359"</f>
        <v>00442359</v>
      </c>
      <c r="H635">
        <v>14.4</v>
      </c>
      <c r="I635">
        <v>0</v>
      </c>
      <c r="J635">
        <v>8</v>
      </c>
      <c r="M635">
        <v>4</v>
      </c>
      <c r="N635">
        <v>8</v>
      </c>
      <c r="O635">
        <v>0</v>
      </c>
      <c r="P635">
        <v>26.4</v>
      </c>
      <c r="Q635">
        <v>61</v>
      </c>
      <c r="R635">
        <v>61</v>
      </c>
      <c r="S635">
        <v>0</v>
      </c>
      <c r="T635">
        <v>0</v>
      </c>
      <c r="U635" s="1">
        <v>0</v>
      </c>
      <c r="V635">
        <v>87.4</v>
      </c>
    </row>
    <row r="636" spans="1:22" ht="15">
      <c r="A636" s="4">
        <v>629</v>
      </c>
      <c r="B636">
        <v>3330</v>
      </c>
      <c r="C636" t="s">
        <v>1547</v>
      </c>
      <c r="D636" t="s">
        <v>40</v>
      </c>
      <c r="E636" t="s">
        <v>90</v>
      </c>
      <c r="F636" t="s">
        <v>1548</v>
      </c>
      <c r="G636" t="str">
        <f>"00496638"</f>
        <v>00496638</v>
      </c>
      <c r="H636">
        <v>43.2</v>
      </c>
      <c r="I636">
        <v>0</v>
      </c>
      <c r="J636">
        <v>8</v>
      </c>
      <c r="M636">
        <v>4</v>
      </c>
      <c r="N636">
        <v>8</v>
      </c>
      <c r="O636">
        <v>0</v>
      </c>
      <c r="P636">
        <v>55.2</v>
      </c>
      <c r="Q636">
        <v>32</v>
      </c>
      <c r="R636">
        <v>32</v>
      </c>
      <c r="S636">
        <v>0</v>
      </c>
      <c r="T636">
        <v>0</v>
      </c>
      <c r="U636" s="1">
        <v>0</v>
      </c>
      <c r="V636">
        <v>87.2</v>
      </c>
    </row>
    <row r="637" spans="1:22" ht="15">
      <c r="A637" s="4">
        <v>630</v>
      </c>
      <c r="B637">
        <v>313</v>
      </c>
      <c r="C637" t="s">
        <v>1549</v>
      </c>
      <c r="D637" t="s">
        <v>643</v>
      </c>
      <c r="E637" t="s">
        <v>11</v>
      </c>
      <c r="F637" t="s">
        <v>1550</v>
      </c>
      <c r="G637" t="str">
        <f>"201406004743"</f>
        <v>201406004743</v>
      </c>
      <c r="H637">
        <v>43.2</v>
      </c>
      <c r="I637">
        <v>0</v>
      </c>
      <c r="M637">
        <v>4</v>
      </c>
      <c r="N637">
        <v>0</v>
      </c>
      <c r="O637">
        <v>0</v>
      </c>
      <c r="P637">
        <v>47.2</v>
      </c>
      <c r="Q637">
        <v>40</v>
      </c>
      <c r="R637">
        <v>40</v>
      </c>
      <c r="S637">
        <v>0</v>
      </c>
      <c r="T637">
        <v>0</v>
      </c>
      <c r="U637" s="1">
        <v>0</v>
      </c>
      <c r="V637">
        <v>87.2</v>
      </c>
    </row>
    <row r="638" spans="1:22" ht="15">
      <c r="A638" s="4">
        <v>631</v>
      </c>
      <c r="B638">
        <v>3079</v>
      </c>
      <c r="C638" t="s">
        <v>1551</v>
      </c>
      <c r="D638" t="s">
        <v>1552</v>
      </c>
      <c r="E638" t="s">
        <v>514</v>
      </c>
      <c r="F638" t="s">
        <v>1553</v>
      </c>
      <c r="G638" t="str">
        <f>"00483452"</f>
        <v>00483452</v>
      </c>
      <c r="H638">
        <v>43.2</v>
      </c>
      <c r="I638">
        <v>10</v>
      </c>
      <c r="L638">
        <v>4</v>
      </c>
      <c r="M638">
        <v>4</v>
      </c>
      <c r="N638">
        <v>4</v>
      </c>
      <c r="O638">
        <v>0</v>
      </c>
      <c r="P638">
        <v>61.2</v>
      </c>
      <c r="Q638">
        <v>26</v>
      </c>
      <c r="R638">
        <v>26</v>
      </c>
      <c r="S638">
        <v>0</v>
      </c>
      <c r="T638">
        <v>0</v>
      </c>
      <c r="U638" s="1" t="s">
        <v>6251</v>
      </c>
      <c r="V638">
        <v>87.2</v>
      </c>
    </row>
    <row r="639" spans="1:22" ht="15">
      <c r="A639" s="4">
        <v>632</v>
      </c>
      <c r="B639">
        <v>1399</v>
      </c>
      <c r="C639" t="s">
        <v>1554</v>
      </c>
      <c r="D639" t="s">
        <v>58</v>
      </c>
      <c r="E639" t="s">
        <v>11</v>
      </c>
      <c r="F639" t="s">
        <v>1555</v>
      </c>
      <c r="G639" t="str">
        <f>"00507137"</f>
        <v>00507137</v>
      </c>
      <c r="H639">
        <v>43.2</v>
      </c>
      <c r="I639">
        <v>0</v>
      </c>
      <c r="J639">
        <v>8</v>
      </c>
      <c r="M639">
        <v>4</v>
      </c>
      <c r="N639">
        <v>8</v>
      </c>
      <c r="O639">
        <v>0</v>
      </c>
      <c r="P639">
        <v>55.2</v>
      </c>
      <c r="Q639">
        <v>32</v>
      </c>
      <c r="R639">
        <v>32</v>
      </c>
      <c r="S639">
        <v>0</v>
      </c>
      <c r="T639">
        <v>0</v>
      </c>
      <c r="U639" s="1">
        <v>0</v>
      </c>
      <c r="V639">
        <v>87.2</v>
      </c>
    </row>
    <row r="640" spans="1:22" ht="15">
      <c r="A640" s="4">
        <v>633</v>
      </c>
      <c r="B640">
        <v>1756</v>
      </c>
      <c r="C640" t="s">
        <v>1556</v>
      </c>
      <c r="D640" t="s">
        <v>14</v>
      </c>
      <c r="E640" t="s">
        <v>514</v>
      </c>
      <c r="F640" t="s">
        <v>1557</v>
      </c>
      <c r="G640" t="str">
        <f>"00508229"</f>
        <v>00508229</v>
      </c>
      <c r="H640">
        <v>50.4</v>
      </c>
      <c r="I640">
        <v>0</v>
      </c>
      <c r="M640">
        <v>4</v>
      </c>
      <c r="N640">
        <v>0</v>
      </c>
      <c r="O640">
        <v>0</v>
      </c>
      <c r="P640">
        <v>54.4</v>
      </c>
      <c r="Q640">
        <v>0</v>
      </c>
      <c r="R640">
        <v>0</v>
      </c>
      <c r="S640">
        <v>6</v>
      </c>
      <c r="T640">
        <v>26.8</v>
      </c>
      <c r="U640" s="1">
        <v>0</v>
      </c>
      <c r="V640">
        <v>87.2</v>
      </c>
    </row>
    <row r="641" spans="1:22" ht="15">
      <c r="A641" s="4">
        <v>634</v>
      </c>
      <c r="B641">
        <v>2728</v>
      </c>
      <c r="C641" t="s">
        <v>1558</v>
      </c>
      <c r="D641" t="s">
        <v>40</v>
      </c>
      <c r="E641" t="s">
        <v>30</v>
      </c>
      <c r="F641" t="s">
        <v>1559</v>
      </c>
      <c r="G641" t="str">
        <f>"00532831"</f>
        <v>00532831</v>
      </c>
      <c r="H641">
        <v>32</v>
      </c>
      <c r="I641">
        <v>0</v>
      </c>
      <c r="M641">
        <v>4</v>
      </c>
      <c r="N641">
        <v>0</v>
      </c>
      <c r="O641">
        <v>2</v>
      </c>
      <c r="P641">
        <v>38</v>
      </c>
      <c r="Q641">
        <v>40</v>
      </c>
      <c r="R641">
        <v>40</v>
      </c>
      <c r="S641">
        <v>9</v>
      </c>
      <c r="T641">
        <v>0</v>
      </c>
      <c r="U641" s="1">
        <v>0</v>
      </c>
      <c r="V641">
        <v>87</v>
      </c>
    </row>
    <row r="642" spans="1:22" ht="15">
      <c r="A642" s="4">
        <v>635</v>
      </c>
      <c r="B642">
        <v>3339</v>
      </c>
      <c r="C642" t="s">
        <v>1560</v>
      </c>
      <c r="D642" t="s">
        <v>1561</v>
      </c>
      <c r="E642" t="s">
        <v>732</v>
      </c>
      <c r="F642" t="s">
        <v>1562</v>
      </c>
      <c r="G642" t="str">
        <f>"00441524"</f>
        <v>00441524</v>
      </c>
      <c r="H642">
        <v>26</v>
      </c>
      <c r="I642">
        <v>10</v>
      </c>
      <c r="K642">
        <v>6</v>
      </c>
      <c r="M642">
        <v>4</v>
      </c>
      <c r="N642">
        <v>6</v>
      </c>
      <c r="O642">
        <v>0</v>
      </c>
      <c r="P642">
        <v>46</v>
      </c>
      <c r="Q642">
        <v>41</v>
      </c>
      <c r="R642">
        <v>41</v>
      </c>
      <c r="S642">
        <v>0</v>
      </c>
      <c r="T642">
        <v>0</v>
      </c>
      <c r="U642" s="1">
        <v>0</v>
      </c>
      <c r="V642">
        <v>87</v>
      </c>
    </row>
    <row r="643" spans="1:22" ht="15">
      <c r="A643" s="4">
        <v>636</v>
      </c>
      <c r="B643">
        <v>3445</v>
      </c>
      <c r="C643" t="s">
        <v>1563</v>
      </c>
      <c r="D643" t="s">
        <v>73</v>
      </c>
      <c r="E643" t="s">
        <v>403</v>
      </c>
      <c r="F643" t="s">
        <v>1564</v>
      </c>
      <c r="G643" t="str">
        <f>"00441812"</f>
        <v>00441812</v>
      </c>
      <c r="H643">
        <v>0</v>
      </c>
      <c r="I643">
        <v>0</v>
      </c>
      <c r="M643">
        <v>4</v>
      </c>
      <c r="N643">
        <v>0</v>
      </c>
      <c r="O643">
        <v>0</v>
      </c>
      <c r="P643">
        <v>4</v>
      </c>
      <c r="Q643">
        <v>77</v>
      </c>
      <c r="R643">
        <v>77</v>
      </c>
      <c r="S643">
        <v>6</v>
      </c>
      <c r="T643">
        <v>0</v>
      </c>
      <c r="U643" s="1">
        <v>0</v>
      </c>
      <c r="V643">
        <v>87</v>
      </c>
    </row>
    <row r="644" spans="1:22" ht="15">
      <c r="A644" s="4">
        <v>637</v>
      </c>
      <c r="B644">
        <v>172</v>
      </c>
      <c r="C644" t="s">
        <v>1565</v>
      </c>
      <c r="D644" t="s">
        <v>1566</v>
      </c>
      <c r="E644" t="s">
        <v>83</v>
      </c>
      <c r="F644" t="s">
        <v>1567</v>
      </c>
      <c r="G644" t="str">
        <f>"00520309"</f>
        <v>00520309</v>
      </c>
      <c r="H644">
        <v>36</v>
      </c>
      <c r="I644">
        <v>0</v>
      </c>
      <c r="M644">
        <v>0</v>
      </c>
      <c r="N644">
        <v>0</v>
      </c>
      <c r="O644">
        <v>0</v>
      </c>
      <c r="P644">
        <v>36</v>
      </c>
      <c r="Q644">
        <v>48</v>
      </c>
      <c r="R644">
        <v>48</v>
      </c>
      <c r="S644">
        <v>3</v>
      </c>
      <c r="T644">
        <v>0</v>
      </c>
      <c r="U644" s="1">
        <v>0</v>
      </c>
      <c r="V644">
        <v>87</v>
      </c>
    </row>
    <row r="645" spans="1:22" ht="15">
      <c r="A645" s="4">
        <v>638</v>
      </c>
      <c r="B645">
        <v>1464</v>
      </c>
      <c r="C645" t="s">
        <v>1568</v>
      </c>
      <c r="D645" t="s">
        <v>298</v>
      </c>
      <c r="E645" t="s">
        <v>41</v>
      </c>
      <c r="F645" t="s">
        <v>1569</v>
      </c>
      <c r="G645" t="str">
        <f>"00532076"</f>
        <v>00532076</v>
      </c>
      <c r="H645">
        <v>36</v>
      </c>
      <c r="I645">
        <v>0</v>
      </c>
      <c r="J645">
        <v>8</v>
      </c>
      <c r="K645">
        <v>6</v>
      </c>
      <c r="M645">
        <v>4</v>
      </c>
      <c r="N645">
        <v>14</v>
      </c>
      <c r="O645">
        <v>0</v>
      </c>
      <c r="P645">
        <v>54</v>
      </c>
      <c r="Q645">
        <v>33</v>
      </c>
      <c r="R645">
        <v>33</v>
      </c>
      <c r="S645">
        <v>0</v>
      </c>
      <c r="T645">
        <v>0</v>
      </c>
      <c r="U645" s="1">
        <v>0</v>
      </c>
      <c r="V645">
        <v>87</v>
      </c>
    </row>
    <row r="646" spans="1:22" ht="15">
      <c r="A646" s="4">
        <v>639</v>
      </c>
      <c r="B646">
        <v>922</v>
      </c>
      <c r="C646" t="s">
        <v>1570</v>
      </c>
      <c r="D646" t="s">
        <v>14</v>
      </c>
      <c r="E646" t="s">
        <v>112</v>
      </c>
      <c r="F646" t="s">
        <v>1571</v>
      </c>
      <c r="G646" t="str">
        <f>"200802003313"</f>
        <v>200802003313</v>
      </c>
      <c r="H646">
        <v>64.8</v>
      </c>
      <c r="I646">
        <v>0</v>
      </c>
      <c r="L646">
        <v>4</v>
      </c>
      <c r="M646">
        <v>4</v>
      </c>
      <c r="N646">
        <v>4</v>
      </c>
      <c r="O646">
        <v>0</v>
      </c>
      <c r="P646">
        <v>72.8</v>
      </c>
      <c r="Q646">
        <v>8</v>
      </c>
      <c r="R646">
        <v>8</v>
      </c>
      <c r="S646">
        <v>6</v>
      </c>
      <c r="T646">
        <v>0</v>
      </c>
      <c r="U646" s="1">
        <v>0</v>
      </c>
      <c r="V646">
        <v>86.8</v>
      </c>
    </row>
    <row r="647" spans="1:22" ht="15">
      <c r="A647" s="4">
        <v>640</v>
      </c>
      <c r="B647">
        <v>2788</v>
      </c>
      <c r="C647" t="s">
        <v>155</v>
      </c>
      <c r="D647" t="s">
        <v>1572</v>
      </c>
      <c r="E647" t="s">
        <v>19</v>
      </c>
      <c r="F647" t="s">
        <v>1573</v>
      </c>
      <c r="G647" t="str">
        <f>"00534198"</f>
        <v>00534198</v>
      </c>
      <c r="H647">
        <v>64.8</v>
      </c>
      <c r="I647">
        <v>10</v>
      </c>
      <c r="J647">
        <v>8</v>
      </c>
      <c r="M647">
        <v>4</v>
      </c>
      <c r="N647">
        <v>8</v>
      </c>
      <c r="O647">
        <v>0</v>
      </c>
      <c r="P647">
        <v>86.8</v>
      </c>
      <c r="Q647">
        <v>0</v>
      </c>
      <c r="R647">
        <v>0</v>
      </c>
      <c r="S647">
        <v>0</v>
      </c>
      <c r="T647">
        <v>0</v>
      </c>
      <c r="U647" s="1">
        <v>0</v>
      </c>
      <c r="V647">
        <v>86.8</v>
      </c>
    </row>
    <row r="648" spans="1:22" ht="15">
      <c r="A648" s="4">
        <v>641</v>
      </c>
      <c r="B648">
        <v>1674</v>
      </c>
      <c r="C648" t="s">
        <v>1574</v>
      </c>
      <c r="D648" t="s">
        <v>127</v>
      </c>
      <c r="E648" t="s">
        <v>83</v>
      </c>
      <c r="F648" t="s">
        <v>1575</v>
      </c>
      <c r="G648" t="str">
        <f>"00483437"</f>
        <v>00483437</v>
      </c>
      <c r="H648">
        <v>57.6</v>
      </c>
      <c r="I648">
        <v>0</v>
      </c>
      <c r="J648">
        <v>8</v>
      </c>
      <c r="M648">
        <v>4</v>
      </c>
      <c r="N648">
        <v>8</v>
      </c>
      <c r="O648">
        <v>0</v>
      </c>
      <c r="P648">
        <v>69.6</v>
      </c>
      <c r="Q648">
        <v>17</v>
      </c>
      <c r="R648">
        <v>17</v>
      </c>
      <c r="S648">
        <v>0</v>
      </c>
      <c r="T648">
        <v>0</v>
      </c>
      <c r="U648" s="1">
        <v>0</v>
      </c>
      <c r="V648">
        <v>86.6</v>
      </c>
    </row>
    <row r="649" spans="1:22" ht="15">
      <c r="A649" s="4">
        <v>642</v>
      </c>
      <c r="B649">
        <v>564</v>
      </c>
      <c r="C649" t="s">
        <v>1576</v>
      </c>
      <c r="D649" t="s">
        <v>1577</v>
      </c>
      <c r="E649" t="s">
        <v>112</v>
      </c>
      <c r="F649" t="s">
        <v>1578</v>
      </c>
      <c r="G649" t="str">
        <f>"00162235"</f>
        <v>00162235</v>
      </c>
      <c r="H649">
        <v>21.6</v>
      </c>
      <c r="I649">
        <v>0</v>
      </c>
      <c r="L649">
        <v>4</v>
      </c>
      <c r="M649">
        <v>0</v>
      </c>
      <c r="N649">
        <v>4</v>
      </c>
      <c r="O649">
        <v>0</v>
      </c>
      <c r="P649">
        <v>25.6</v>
      </c>
      <c r="Q649">
        <v>58</v>
      </c>
      <c r="R649">
        <v>58</v>
      </c>
      <c r="S649">
        <v>3</v>
      </c>
      <c r="T649">
        <v>0</v>
      </c>
      <c r="U649" s="1">
        <v>0</v>
      </c>
      <c r="V649">
        <v>86.6</v>
      </c>
    </row>
    <row r="650" spans="1:22" ht="15">
      <c r="A650" s="4">
        <v>643</v>
      </c>
      <c r="B650">
        <v>614</v>
      </c>
      <c r="C650" t="s">
        <v>1579</v>
      </c>
      <c r="D650" t="s">
        <v>179</v>
      </c>
      <c r="E650" t="s">
        <v>15</v>
      </c>
      <c r="F650" t="s">
        <v>1580</v>
      </c>
      <c r="G650" t="str">
        <f>"00481670"</f>
        <v>00481670</v>
      </c>
      <c r="H650">
        <v>50.4</v>
      </c>
      <c r="I650">
        <v>0</v>
      </c>
      <c r="M650">
        <v>4</v>
      </c>
      <c r="N650">
        <v>0</v>
      </c>
      <c r="O650">
        <v>0</v>
      </c>
      <c r="P650">
        <v>54.4</v>
      </c>
      <c r="Q650">
        <v>32</v>
      </c>
      <c r="R650">
        <v>32</v>
      </c>
      <c r="S650">
        <v>0</v>
      </c>
      <c r="T650">
        <v>0</v>
      </c>
      <c r="U650" s="1">
        <v>0</v>
      </c>
      <c r="V650">
        <v>86.4</v>
      </c>
    </row>
    <row r="651" spans="1:22" ht="15">
      <c r="A651" s="4">
        <v>644</v>
      </c>
      <c r="B651">
        <v>3309</v>
      </c>
      <c r="C651" t="s">
        <v>1581</v>
      </c>
      <c r="D651" t="s">
        <v>1582</v>
      </c>
      <c r="E651" t="s">
        <v>344</v>
      </c>
      <c r="F651" t="s">
        <v>1583</v>
      </c>
      <c r="G651" t="str">
        <f>"00161729"</f>
        <v>00161729</v>
      </c>
      <c r="H651">
        <v>33.24</v>
      </c>
      <c r="I651">
        <v>0</v>
      </c>
      <c r="M651">
        <v>4</v>
      </c>
      <c r="N651">
        <v>0</v>
      </c>
      <c r="O651">
        <v>2</v>
      </c>
      <c r="P651">
        <v>39.24</v>
      </c>
      <c r="Q651">
        <v>47</v>
      </c>
      <c r="R651">
        <v>47</v>
      </c>
      <c r="S651">
        <v>0</v>
      </c>
      <c r="T651">
        <v>0</v>
      </c>
      <c r="U651" s="1">
        <v>0</v>
      </c>
      <c r="V651">
        <v>86.24</v>
      </c>
    </row>
    <row r="652" spans="1:22" ht="15">
      <c r="A652" s="4">
        <v>645</v>
      </c>
      <c r="B652">
        <v>2493</v>
      </c>
      <c r="C652" t="s">
        <v>1584</v>
      </c>
      <c r="D652" t="s">
        <v>36</v>
      </c>
      <c r="E652" t="s">
        <v>112</v>
      </c>
      <c r="F652" t="s">
        <v>1585</v>
      </c>
      <c r="G652" t="str">
        <f>"00531938"</f>
        <v>00531938</v>
      </c>
      <c r="H652">
        <v>43.2</v>
      </c>
      <c r="I652">
        <v>0</v>
      </c>
      <c r="L652">
        <v>4</v>
      </c>
      <c r="M652">
        <v>4</v>
      </c>
      <c r="N652">
        <v>4</v>
      </c>
      <c r="O652">
        <v>2</v>
      </c>
      <c r="P652">
        <v>53.2</v>
      </c>
      <c r="Q652">
        <v>33</v>
      </c>
      <c r="R652">
        <v>33</v>
      </c>
      <c r="S652">
        <v>0</v>
      </c>
      <c r="T652">
        <v>0</v>
      </c>
      <c r="U652" s="1">
        <v>0</v>
      </c>
      <c r="V652">
        <v>86.2</v>
      </c>
    </row>
    <row r="653" spans="1:22" ht="15">
      <c r="A653" s="4">
        <v>646</v>
      </c>
      <c r="B653">
        <v>1891</v>
      </c>
      <c r="C653" t="s">
        <v>1586</v>
      </c>
      <c r="D653" t="s">
        <v>367</v>
      </c>
      <c r="E653" t="s">
        <v>11</v>
      </c>
      <c r="F653" t="s">
        <v>1587</v>
      </c>
      <c r="G653" t="str">
        <f>"00501260"</f>
        <v>00501260</v>
      </c>
      <c r="H653">
        <v>39.12</v>
      </c>
      <c r="I653">
        <v>10</v>
      </c>
      <c r="M653">
        <v>4</v>
      </c>
      <c r="N653">
        <v>0</v>
      </c>
      <c r="O653">
        <v>0</v>
      </c>
      <c r="P653">
        <v>53.12</v>
      </c>
      <c r="Q653">
        <v>27</v>
      </c>
      <c r="R653">
        <v>27</v>
      </c>
      <c r="S653">
        <v>6</v>
      </c>
      <c r="T653">
        <v>0</v>
      </c>
      <c r="U653" s="1">
        <v>0</v>
      </c>
      <c r="V653">
        <v>86.12</v>
      </c>
    </row>
    <row r="654" spans="1:22" ht="15">
      <c r="A654" s="4">
        <v>647</v>
      </c>
      <c r="B654">
        <v>1352</v>
      </c>
      <c r="C654" t="s">
        <v>1588</v>
      </c>
      <c r="D654" t="s">
        <v>1589</v>
      </c>
      <c r="E654" t="s">
        <v>732</v>
      </c>
      <c r="F654" t="s">
        <v>1590</v>
      </c>
      <c r="G654" t="str">
        <f>"00519837"</f>
        <v>00519837</v>
      </c>
      <c r="H654">
        <v>24.28</v>
      </c>
      <c r="I654">
        <v>0</v>
      </c>
      <c r="M654">
        <v>0</v>
      </c>
      <c r="N654">
        <v>0</v>
      </c>
      <c r="O654">
        <v>0</v>
      </c>
      <c r="P654">
        <v>24.28</v>
      </c>
      <c r="Q654">
        <v>26</v>
      </c>
      <c r="R654">
        <v>26</v>
      </c>
      <c r="S654">
        <v>9</v>
      </c>
      <c r="T654">
        <v>26.8</v>
      </c>
      <c r="U654" s="1">
        <v>0</v>
      </c>
      <c r="V654">
        <v>86.08</v>
      </c>
    </row>
    <row r="655" spans="1:22" ht="15">
      <c r="A655" s="4">
        <v>648</v>
      </c>
      <c r="B655">
        <v>2990</v>
      </c>
      <c r="C655" t="s">
        <v>1591</v>
      </c>
      <c r="D655" t="s">
        <v>26</v>
      </c>
      <c r="E655" t="s">
        <v>201</v>
      </c>
      <c r="F655" t="s">
        <v>1592</v>
      </c>
      <c r="G655" t="str">
        <f>"201511037895"</f>
        <v>201511037895</v>
      </c>
      <c r="H655">
        <v>36</v>
      </c>
      <c r="I655">
        <v>10</v>
      </c>
      <c r="L655">
        <v>4</v>
      </c>
      <c r="M655">
        <v>4</v>
      </c>
      <c r="N655">
        <v>4</v>
      </c>
      <c r="O655">
        <v>0</v>
      </c>
      <c r="P655">
        <v>54</v>
      </c>
      <c r="Q655">
        <v>32</v>
      </c>
      <c r="R655">
        <v>32</v>
      </c>
      <c r="S655">
        <v>0</v>
      </c>
      <c r="T655">
        <v>0</v>
      </c>
      <c r="U655" s="1">
        <v>0</v>
      </c>
      <c r="V655">
        <v>86</v>
      </c>
    </row>
    <row r="656" spans="1:22" ht="15">
      <c r="A656" s="4">
        <v>649</v>
      </c>
      <c r="B656">
        <v>2552</v>
      </c>
      <c r="C656" t="s">
        <v>1593</v>
      </c>
      <c r="D656" t="s">
        <v>68</v>
      </c>
      <c r="E656" t="s">
        <v>197</v>
      </c>
      <c r="F656" t="s">
        <v>1594</v>
      </c>
      <c r="G656" t="str">
        <f>"00152450"</f>
        <v>00152450</v>
      </c>
      <c r="H656">
        <v>0</v>
      </c>
      <c r="I656">
        <v>10</v>
      </c>
      <c r="L656">
        <v>4</v>
      </c>
      <c r="M656">
        <v>4</v>
      </c>
      <c r="N656">
        <v>4</v>
      </c>
      <c r="O656">
        <v>0</v>
      </c>
      <c r="P656">
        <v>18</v>
      </c>
      <c r="Q656">
        <v>68</v>
      </c>
      <c r="R656">
        <v>68</v>
      </c>
      <c r="S656">
        <v>0</v>
      </c>
      <c r="T656">
        <v>0</v>
      </c>
      <c r="U656" s="1">
        <v>0</v>
      </c>
      <c r="V656">
        <v>86</v>
      </c>
    </row>
    <row r="657" spans="1:22" ht="15">
      <c r="A657" s="4">
        <v>650</v>
      </c>
      <c r="B657">
        <v>2114</v>
      </c>
      <c r="C657" t="s">
        <v>1595</v>
      </c>
      <c r="D657" t="s">
        <v>1596</v>
      </c>
      <c r="E657" t="s">
        <v>30</v>
      </c>
      <c r="F657" t="s">
        <v>1597</v>
      </c>
      <c r="G657" t="str">
        <f>"00478539"</f>
        <v>00478539</v>
      </c>
      <c r="H657">
        <v>72</v>
      </c>
      <c r="I657">
        <v>10</v>
      </c>
      <c r="M657">
        <v>4</v>
      </c>
      <c r="N657">
        <v>0</v>
      </c>
      <c r="O657">
        <v>0</v>
      </c>
      <c r="P657">
        <v>86</v>
      </c>
      <c r="Q657">
        <v>0</v>
      </c>
      <c r="R657">
        <v>0</v>
      </c>
      <c r="S657">
        <v>0</v>
      </c>
      <c r="T657">
        <v>0</v>
      </c>
      <c r="U657" s="1">
        <v>0</v>
      </c>
      <c r="V657">
        <v>86</v>
      </c>
    </row>
    <row r="658" spans="1:22" ht="15">
      <c r="A658" s="4">
        <v>651</v>
      </c>
      <c r="B658">
        <v>613</v>
      </c>
      <c r="C658" t="s">
        <v>1598</v>
      </c>
      <c r="D658" t="s">
        <v>14</v>
      </c>
      <c r="E658" t="s">
        <v>51</v>
      </c>
      <c r="F658" t="s">
        <v>1599</v>
      </c>
      <c r="G658" t="str">
        <f>"00518102"</f>
        <v>00518102</v>
      </c>
      <c r="H658">
        <v>36</v>
      </c>
      <c r="I658">
        <v>0</v>
      </c>
      <c r="L658">
        <v>4</v>
      </c>
      <c r="M658">
        <v>4</v>
      </c>
      <c r="N658">
        <v>4</v>
      </c>
      <c r="O658">
        <v>2</v>
      </c>
      <c r="P658">
        <v>46</v>
      </c>
      <c r="Q658">
        <v>40</v>
      </c>
      <c r="R658">
        <v>40</v>
      </c>
      <c r="S658">
        <v>0</v>
      </c>
      <c r="T658">
        <v>0</v>
      </c>
      <c r="U658" s="1">
        <v>0</v>
      </c>
      <c r="V658">
        <v>86</v>
      </c>
    </row>
    <row r="659" spans="1:22" ht="15">
      <c r="A659" s="4">
        <v>652</v>
      </c>
      <c r="B659">
        <v>2384</v>
      </c>
      <c r="C659" t="s">
        <v>1600</v>
      </c>
      <c r="D659" t="s">
        <v>76</v>
      </c>
      <c r="E659" t="s">
        <v>30</v>
      </c>
      <c r="F659" t="s">
        <v>1601</v>
      </c>
      <c r="G659" t="str">
        <f>"00503759"</f>
        <v>00503759</v>
      </c>
      <c r="H659">
        <v>36</v>
      </c>
      <c r="I659">
        <v>10</v>
      </c>
      <c r="L659">
        <v>4</v>
      </c>
      <c r="M659">
        <v>4</v>
      </c>
      <c r="N659">
        <v>4</v>
      </c>
      <c r="O659">
        <v>0</v>
      </c>
      <c r="P659">
        <v>54</v>
      </c>
      <c r="Q659">
        <v>32</v>
      </c>
      <c r="R659">
        <v>32</v>
      </c>
      <c r="S659">
        <v>0</v>
      </c>
      <c r="T659">
        <v>0</v>
      </c>
      <c r="U659" s="1">
        <v>0</v>
      </c>
      <c r="V659">
        <v>86</v>
      </c>
    </row>
    <row r="660" spans="1:22" ht="15">
      <c r="A660" s="4">
        <v>653</v>
      </c>
      <c r="B660">
        <v>1289</v>
      </c>
      <c r="C660" t="s">
        <v>1602</v>
      </c>
      <c r="D660" t="s">
        <v>89</v>
      </c>
      <c r="E660" t="s">
        <v>19</v>
      </c>
      <c r="F660" t="s">
        <v>1603</v>
      </c>
      <c r="G660" t="str">
        <f>"00482169"</f>
        <v>00482169</v>
      </c>
      <c r="H660">
        <v>36</v>
      </c>
      <c r="I660">
        <v>0</v>
      </c>
      <c r="M660">
        <v>0</v>
      </c>
      <c r="N660">
        <v>0</v>
      </c>
      <c r="O660">
        <v>0</v>
      </c>
      <c r="P660">
        <v>36</v>
      </c>
      <c r="Q660">
        <v>50</v>
      </c>
      <c r="R660">
        <v>50</v>
      </c>
      <c r="S660">
        <v>0</v>
      </c>
      <c r="T660">
        <v>0</v>
      </c>
      <c r="U660" s="1">
        <v>0</v>
      </c>
      <c r="V660">
        <v>86</v>
      </c>
    </row>
    <row r="661" spans="1:22" ht="15">
      <c r="A661" s="4">
        <v>654</v>
      </c>
      <c r="B661">
        <v>725</v>
      </c>
      <c r="C661" t="s">
        <v>1604</v>
      </c>
      <c r="D661" t="s">
        <v>511</v>
      </c>
      <c r="E661" t="s">
        <v>83</v>
      </c>
      <c r="F661" t="s">
        <v>1605</v>
      </c>
      <c r="G661" t="str">
        <f>"00529442"</f>
        <v>00529442</v>
      </c>
      <c r="H661">
        <v>72</v>
      </c>
      <c r="I661">
        <v>0</v>
      </c>
      <c r="J661">
        <v>8</v>
      </c>
      <c r="M661">
        <v>4</v>
      </c>
      <c r="N661">
        <v>8</v>
      </c>
      <c r="O661">
        <v>2</v>
      </c>
      <c r="P661">
        <v>86</v>
      </c>
      <c r="Q661">
        <v>0</v>
      </c>
      <c r="R661">
        <v>0</v>
      </c>
      <c r="S661">
        <v>0</v>
      </c>
      <c r="T661">
        <v>0</v>
      </c>
      <c r="U661" s="1">
        <v>0</v>
      </c>
      <c r="V661">
        <v>86</v>
      </c>
    </row>
    <row r="662" spans="1:22" ht="15">
      <c r="A662" s="4">
        <v>655</v>
      </c>
      <c r="B662">
        <v>1912</v>
      </c>
      <c r="C662" t="s">
        <v>1606</v>
      </c>
      <c r="D662" t="s">
        <v>643</v>
      </c>
      <c r="E662" t="s">
        <v>90</v>
      </c>
      <c r="F662" t="s">
        <v>1607</v>
      </c>
      <c r="G662" t="str">
        <f>"201412000618"</f>
        <v>201412000618</v>
      </c>
      <c r="H662">
        <v>39.2</v>
      </c>
      <c r="I662">
        <v>10</v>
      </c>
      <c r="J662">
        <v>8</v>
      </c>
      <c r="L662">
        <v>4</v>
      </c>
      <c r="M662">
        <v>4</v>
      </c>
      <c r="N662">
        <v>12</v>
      </c>
      <c r="O662">
        <v>0</v>
      </c>
      <c r="P662">
        <v>64</v>
      </c>
      <c r="Q662">
        <v>22</v>
      </c>
      <c r="R662">
        <v>22</v>
      </c>
      <c r="S662">
        <v>0</v>
      </c>
      <c r="T662">
        <v>0</v>
      </c>
      <c r="U662" s="1">
        <v>0</v>
      </c>
      <c r="V662">
        <v>86</v>
      </c>
    </row>
    <row r="663" spans="1:22" ht="15">
      <c r="A663" s="4">
        <v>656</v>
      </c>
      <c r="B663">
        <v>2505</v>
      </c>
      <c r="C663" t="s">
        <v>1242</v>
      </c>
      <c r="D663" t="s">
        <v>1608</v>
      </c>
      <c r="E663" t="s">
        <v>403</v>
      </c>
      <c r="F663" t="s">
        <v>1609</v>
      </c>
      <c r="G663" t="str">
        <f>"00146856"</f>
        <v>00146856</v>
      </c>
      <c r="H663">
        <v>0</v>
      </c>
      <c r="I663">
        <v>0</v>
      </c>
      <c r="L663">
        <v>4</v>
      </c>
      <c r="M663">
        <v>4</v>
      </c>
      <c r="N663">
        <v>4</v>
      </c>
      <c r="O663">
        <v>2</v>
      </c>
      <c r="P663">
        <v>10</v>
      </c>
      <c r="Q663">
        <v>76</v>
      </c>
      <c r="R663">
        <v>76</v>
      </c>
      <c r="S663">
        <v>0</v>
      </c>
      <c r="T663">
        <v>0</v>
      </c>
      <c r="U663" s="1">
        <v>0</v>
      </c>
      <c r="V663">
        <v>86</v>
      </c>
    </row>
    <row r="664" spans="1:22" ht="15">
      <c r="A664" s="4">
        <v>657</v>
      </c>
      <c r="B664">
        <v>1116</v>
      </c>
      <c r="C664" t="s">
        <v>1610</v>
      </c>
      <c r="D664" t="s">
        <v>121</v>
      </c>
      <c r="E664" t="s">
        <v>55</v>
      </c>
      <c r="F664" t="s">
        <v>1611</v>
      </c>
      <c r="G664" t="str">
        <f>"00504115"</f>
        <v>00504115</v>
      </c>
      <c r="H664">
        <v>28.8</v>
      </c>
      <c r="I664">
        <v>0</v>
      </c>
      <c r="M664">
        <v>4</v>
      </c>
      <c r="N664">
        <v>0</v>
      </c>
      <c r="O664">
        <v>0</v>
      </c>
      <c r="P664">
        <v>32.8</v>
      </c>
      <c r="Q664">
        <v>44</v>
      </c>
      <c r="R664">
        <v>44</v>
      </c>
      <c r="S664">
        <v>9</v>
      </c>
      <c r="T664">
        <v>0</v>
      </c>
      <c r="U664" s="1">
        <v>0</v>
      </c>
      <c r="V664">
        <v>85.8</v>
      </c>
    </row>
    <row r="665" spans="1:22" ht="15">
      <c r="A665" s="4">
        <v>658</v>
      </c>
      <c r="B665">
        <v>586</v>
      </c>
      <c r="C665" t="s">
        <v>1612</v>
      </c>
      <c r="D665" t="s">
        <v>363</v>
      </c>
      <c r="E665" t="s">
        <v>1613</v>
      </c>
      <c r="F665" t="s">
        <v>1614</v>
      </c>
      <c r="G665" t="str">
        <f>"00474153"</f>
        <v>00474153</v>
      </c>
      <c r="H665">
        <v>64.8</v>
      </c>
      <c r="I665">
        <v>10</v>
      </c>
      <c r="L665">
        <v>4</v>
      </c>
      <c r="M665">
        <v>4</v>
      </c>
      <c r="N665">
        <v>4</v>
      </c>
      <c r="O665">
        <v>0</v>
      </c>
      <c r="P665">
        <v>82.8</v>
      </c>
      <c r="Q665">
        <v>0</v>
      </c>
      <c r="R665">
        <v>0</v>
      </c>
      <c r="S665">
        <v>3</v>
      </c>
      <c r="T665">
        <v>0</v>
      </c>
      <c r="U665" s="1">
        <v>0</v>
      </c>
      <c r="V665">
        <v>85.8</v>
      </c>
    </row>
    <row r="666" spans="1:22" ht="15">
      <c r="A666" s="4">
        <v>659</v>
      </c>
      <c r="B666">
        <v>1484</v>
      </c>
      <c r="C666" t="s">
        <v>1615</v>
      </c>
      <c r="D666" t="s">
        <v>89</v>
      </c>
      <c r="E666" t="s">
        <v>19</v>
      </c>
      <c r="F666" t="s">
        <v>1616</v>
      </c>
      <c r="G666" t="str">
        <f>"00154781"</f>
        <v>00154781</v>
      </c>
      <c r="H666">
        <v>37.6</v>
      </c>
      <c r="I666">
        <v>0</v>
      </c>
      <c r="J666">
        <v>8</v>
      </c>
      <c r="M666">
        <v>4</v>
      </c>
      <c r="N666">
        <v>8</v>
      </c>
      <c r="O666">
        <v>2</v>
      </c>
      <c r="P666">
        <v>51.6</v>
      </c>
      <c r="Q666">
        <v>25</v>
      </c>
      <c r="R666">
        <v>25</v>
      </c>
      <c r="S666">
        <v>9</v>
      </c>
      <c r="T666">
        <v>0</v>
      </c>
      <c r="U666" s="1">
        <v>0</v>
      </c>
      <c r="V666">
        <v>85.6</v>
      </c>
    </row>
    <row r="667" spans="1:22" ht="15">
      <c r="A667" s="4">
        <v>660</v>
      </c>
      <c r="B667">
        <v>1750</v>
      </c>
      <c r="C667" t="s">
        <v>1617</v>
      </c>
      <c r="D667" t="s">
        <v>1618</v>
      </c>
      <c r="E667" t="s">
        <v>270</v>
      </c>
      <c r="F667" t="s">
        <v>1619</v>
      </c>
      <c r="G667" t="str">
        <f>"00441593"</f>
        <v>00441593</v>
      </c>
      <c r="H667">
        <v>14.4</v>
      </c>
      <c r="I667">
        <v>10</v>
      </c>
      <c r="M667">
        <v>0</v>
      </c>
      <c r="N667">
        <v>0</v>
      </c>
      <c r="O667">
        <v>0</v>
      </c>
      <c r="P667">
        <v>24.4</v>
      </c>
      <c r="Q667">
        <v>52</v>
      </c>
      <c r="R667">
        <v>52</v>
      </c>
      <c r="S667">
        <v>9</v>
      </c>
      <c r="T667">
        <v>0</v>
      </c>
      <c r="U667" s="1">
        <v>0</v>
      </c>
      <c r="V667">
        <v>85.4</v>
      </c>
    </row>
    <row r="668" spans="1:22" ht="15">
      <c r="A668" s="4">
        <v>661</v>
      </c>
      <c r="B668">
        <v>1073</v>
      </c>
      <c r="C668" t="s">
        <v>1620</v>
      </c>
      <c r="D668" t="s">
        <v>76</v>
      </c>
      <c r="E668" t="s">
        <v>19</v>
      </c>
      <c r="F668" t="s">
        <v>1621</v>
      </c>
      <c r="G668" t="str">
        <f>"201406006513"</f>
        <v>201406006513</v>
      </c>
      <c r="H668">
        <v>50.4</v>
      </c>
      <c r="I668">
        <v>0</v>
      </c>
      <c r="L668">
        <v>4</v>
      </c>
      <c r="M668">
        <v>4</v>
      </c>
      <c r="N668">
        <v>4</v>
      </c>
      <c r="O668">
        <v>2</v>
      </c>
      <c r="P668">
        <v>60.4</v>
      </c>
      <c r="Q668">
        <v>25</v>
      </c>
      <c r="R668">
        <v>25</v>
      </c>
      <c r="S668">
        <v>0</v>
      </c>
      <c r="T668">
        <v>0</v>
      </c>
      <c r="U668" s="1">
        <v>0</v>
      </c>
      <c r="V668">
        <v>85.4</v>
      </c>
    </row>
    <row r="669" spans="1:22" ht="15">
      <c r="A669" s="4">
        <v>662</v>
      </c>
      <c r="B669">
        <v>700</v>
      </c>
      <c r="C669" t="s">
        <v>1622</v>
      </c>
      <c r="D669" t="s">
        <v>14</v>
      </c>
      <c r="E669" t="s">
        <v>317</v>
      </c>
      <c r="F669" t="s">
        <v>1623</v>
      </c>
      <c r="G669" t="str">
        <f>"00510504"</f>
        <v>00510504</v>
      </c>
      <c r="H669">
        <v>29.32</v>
      </c>
      <c r="I669">
        <v>0</v>
      </c>
      <c r="M669">
        <v>4</v>
      </c>
      <c r="N669">
        <v>0</v>
      </c>
      <c r="O669">
        <v>0</v>
      </c>
      <c r="P669">
        <v>33.32</v>
      </c>
      <c r="Q669">
        <v>52</v>
      </c>
      <c r="R669">
        <v>52</v>
      </c>
      <c r="S669">
        <v>0</v>
      </c>
      <c r="T669">
        <v>0</v>
      </c>
      <c r="U669" s="1">
        <v>0</v>
      </c>
      <c r="V669">
        <v>85.32</v>
      </c>
    </row>
    <row r="670" spans="1:22" ht="15">
      <c r="A670" s="4">
        <v>663</v>
      </c>
      <c r="B670">
        <v>358</v>
      </c>
      <c r="C670" t="s">
        <v>1591</v>
      </c>
      <c r="D670" t="s">
        <v>14</v>
      </c>
      <c r="E670" t="s">
        <v>86</v>
      </c>
      <c r="F670" t="s">
        <v>1624</v>
      </c>
      <c r="G670" t="str">
        <f>"00483025"</f>
        <v>00483025</v>
      </c>
      <c r="H670">
        <v>26.28</v>
      </c>
      <c r="I670">
        <v>10</v>
      </c>
      <c r="M670">
        <v>4</v>
      </c>
      <c r="N670">
        <v>0</v>
      </c>
      <c r="O670">
        <v>0</v>
      </c>
      <c r="P670">
        <v>40.28</v>
      </c>
      <c r="Q670">
        <v>45</v>
      </c>
      <c r="R670">
        <v>45</v>
      </c>
      <c r="S670">
        <v>0</v>
      </c>
      <c r="T670">
        <v>0</v>
      </c>
      <c r="U670" s="1">
        <v>0</v>
      </c>
      <c r="V670">
        <v>85.28</v>
      </c>
    </row>
    <row r="671" spans="1:22" ht="15">
      <c r="A671" s="4">
        <v>664</v>
      </c>
      <c r="B671">
        <v>912</v>
      </c>
      <c r="C671" t="s">
        <v>1625</v>
      </c>
      <c r="D671" t="s">
        <v>1626</v>
      </c>
      <c r="E671" t="s">
        <v>19</v>
      </c>
      <c r="F671" t="s">
        <v>1627</v>
      </c>
      <c r="G671" t="str">
        <f>"00499480"</f>
        <v>00499480</v>
      </c>
      <c r="H671">
        <v>7.2</v>
      </c>
      <c r="I671">
        <v>10</v>
      </c>
      <c r="M671">
        <v>4</v>
      </c>
      <c r="N671">
        <v>0</v>
      </c>
      <c r="O671">
        <v>0</v>
      </c>
      <c r="P671">
        <v>21.2</v>
      </c>
      <c r="Q671">
        <v>61</v>
      </c>
      <c r="R671">
        <v>61</v>
      </c>
      <c r="S671">
        <v>3</v>
      </c>
      <c r="T671">
        <v>0</v>
      </c>
      <c r="U671" s="1">
        <v>0</v>
      </c>
      <c r="V671">
        <v>85.2</v>
      </c>
    </row>
    <row r="672" spans="1:22" ht="15">
      <c r="A672" s="4">
        <v>665</v>
      </c>
      <c r="B672">
        <v>900</v>
      </c>
      <c r="C672" t="s">
        <v>1628</v>
      </c>
      <c r="D672" t="s">
        <v>580</v>
      </c>
      <c r="E672" t="s">
        <v>51</v>
      </c>
      <c r="F672" t="s">
        <v>1629</v>
      </c>
      <c r="G672" t="str">
        <f>"201406003273"</f>
        <v>201406003273</v>
      </c>
      <c r="H672">
        <v>43.2</v>
      </c>
      <c r="I672">
        <v>0</v>
      </c>
      <c r="L672">
        <v>8</v>
      </c>
      <c r="M672">
        <v>4</v>
      </c>
      <c r="N672">
        <v>8</v>
      </c>
      <c r="O672">
        <v>0</v>
      </c>
      <c r="P672">
        <v>55.2</v>
      </c>
      <c r="Q672">
        <v>24</v>
      </c>
      <c r="R672">
        <v>24</v>
      </c>
      <c r="S672">
        <v>6</v>
      </c>
      <c r="T672">
        <v>0</v>
      </c>
      <c r="U672" s="1">
        <v>0</v>
      </c>
      <c r="V672">
        <v>85.2</v>
      </c>
    </row>
    <row r="673" spans="1:22" ht="15">
      <c r="A673" s="4">
        <v>666</v>
      </c>
      <c r="B673">
        <v>86</v>
      </c>
      <c r="C673" t="s">
        <v>1630</v>
      </c>
      <c r="D673" t="s">
        <v>1631</v>
      </c>
      <c r="E673" t="s">
        <v>807</v>
      </c>
      <c r="F673" t="s">
        <v>1632</v>
      </c>
      <c r="G673" t="str">
        <f>"00001885"</f>
        <v>00001885</v>
      </c>
      <c r="H673">
        <v>43.2</v>
      </c>
      <c r="I673">
        <v>0</v>
      </c>
      <c r="M673">
        <v>4</v>
      </c>
      <c r="N673">
        <v>0</v>
      </c>
      <c r="O673">
        <v>2</v>
      </c>
      <c r="P673">
        <v>49.2</v>
      </c>
      <c r="Q673">
        <v>33</v>
      </c>
      <c r="R673">
        <v>33</v>
      </c>
      <c r="S673">
        <v>3</v>
      </c>
      <c r="T673">
        <v>0</v>
      </c>
      <c r="U673" s="1">
        <v>0</v>
      </c>
      <c r="V673">
        <v>85.2</v>
      </c>
    </row>
    <row r="674" spans="1:22" ht="15">
      <c r="A674" s="4">
        <v>667</v>
      </c>
      <c r="B674">
        <v>1890</v>
      </c>
      <c r="C674" t="s">
        <v>1633</v>
      </c>
      <c r="D674" t="s">
        <v>22</v>
      </c>
      <c r="E674" t="s">
        <v>1634</v>
      </c>
      <c r="F674" t="s">
        <v>1635</v>
      </c>
      <c r="G674" t="str">
        <f>"200901000147"</f>
        <v>200901000147</v>
      </c>
      <c r="H674">
        <v>43.2</v>
      </c>
      <c r="I674">
        <v>0</v>
      </c>
      <c r="L674">
        <v>8</v>
      </c>
      <c r="M674">
        <v>4</v>
      </c>
      <c r="N674">
        <v>8</v>
      </c>
      <c r="O674">
        <v>0</v>
      </c>
      <c r="P674">
        <v>55.2</v>
      </c>
      <c r="Q674">
        <v>0</v>
      </c>
      <c r="R674">
        <v>0</v>
      </c>
      <c r="S674">
        <v>3</v>
      </c>
      <c r="T674">
        <v>26.8</v>
      </c>
      <c r="U674" s="1">
        <v>0</v>
      </c>
      <c r="V674">
        <v>85</v>
      </c>
    </row>
    <row r="675" spans="1:22" ht="15">
      <c r="A675" s="4">
        <v>668</v>
      </c>
      <c r="B675">
        <v>19</v>
      </c>
      <c r="C675" t="s">
        <v>1636</v>
      </c>
      <c r="D675" t="s">
        <v>14</v>
      </c>
      <c r="E675" t="s">
        <v>19</v>
      </c>
      <c r="F675" t="s">
        <v>1637</v>
      </c>
      <c r="G675" t="str">
        <f>"201511020226"</f>
        <v>201511020226</v>
      </c>
      <c r="H675">
        <v>36</v>
      </c>
      <c r="I675">
        <v>10</v>
      </c>
      <c r="L675">
        <v>4</v>
      </c>
      <c r="M675">
        <v>4</v>
      </c>
      <c r="N675">
        <v>4</v>
      </c>
      <c r="O675">
        <v>0</v>
      </c>
      <c r="P675">
        <v>54</v>
      </c>
      <c r="Q675">
        <v>31</v>
      </c>
      <c r="R675">
        <v>31</v>
      </c>
      <c r="S675">
        <v>0</v>
      </c>
      <c r="T675">
        <v>0</v>
      </c>
      <c r="U675" s="1">
        <v>0</v>
      </c>
      <c r="V675">
        <v>85</v>
      </c>
    </row>
    <row r="676" spans="1:22" ht="15">
      <c r="A676" s="4">
        <v>669</v>
      </c>
      <c r="B676">
        <v>1239</v>
      </c>
      <c r="C676" t="s">
        <v>1638</v>
      </c>
      <c r="D676" t="s">
        <v>76</v>
      </c>
      <c r="E676" t="s">
        <v>19</v>
      </c>
      <c r="F676" t="s">
        <v>1639</v>
      </c>
      <c r="G676" t="str">
        <f>"00524425"</f>
        <v>00524425</v>
      </c>
      <c r="H676">
        <v>36</v>
      </c>
      <c r="I676">
        <v>0</v>
      </c>
      <c r="M676">
        <v>0</v>
      </c>
      <c r="N676">
        <v>0</v>
      </c>
      <c r="O676">
        <v>0</v>
      </c>
      <c r="P676">
        <v>36</v>
      </c>
      <c r="Q676">
        <v>49</v>
      </c>
      <c r="R676">
        <v>49</v>
      </c>
      <c r="S676">
        <v>0</v>
      </c>
      <c r="T676">
        <v>0</v>
      </c>
      <c r="U676" s="1">
        <v>0</v>
      </c>
      <c r="V676">
        <v>85</v>
      </c>
    </row>
    <row r="677" spans="1:22" ht="15">
      <c r="A677" s="4">
        <v>670</v>
      </c>
      <c r="B677">
        <v>2775</v>
      </c>
      <c r="C677" t="s">
        <v>1640</v>
      </c>
      <c r="D677" t="s">
        <v>211</v>
      </c>
      <c r="E677" t="s">
        <v>877</v>
      </c>
      <c r="F677" t="s">
        <v>1641</v>
      </c>
      <c r="G677" t="str">
        <f>"00484160"</f>
        <v>00484160</v>
      </c>
      <c r="H677">
        <v>28.8</v>
      </c>
      <c r="I677">
        <v>0</v>
      </c>
      <c r="M677">
        <v>0</v>
      </c>
      <c r="N677">
        <v>0</v>
      </c>
      <c r="O677">
        <v>0</v>
      </c>
      <c r="P677">
        <v>28.8</v>
      </c>
      <c r="Q677">
        <v>53</v>
      </c>
      <c r="R677">
        <v>53</v>
      </c>
      <c r="S677">
        <v>3</v>
      </c>
      <c r="T677">
        <v>0</v>
      </c>
      <c r="U677" s="1">
        <v>0</v>
      </c>
      <c r="V677">
        <v>84.8</v>
      </c>
    </row>
    <row r="678" spans="1:22" ht="15">
      <c r="A678" s="4">
        <v>671</v>
      </c>
      <c r="B678">
        <v>1859</v>
      </c>
      <c r="C678" t="s">
        <v>1642</v>
      </c>
      <c r="D678" t="s">
        <v>76</v>
      </c>
      <c r="E678" t="s">
        <v>90</v>
      </c>
      <c r="F678" t="s">
        <v>1643</v>
      </c>
      <c r="G678" t="str">
        <f>"00075537"</f>
        <v>00075537</v>
      </c>
      <c r="H678">
        <v>64.8</v>
      </c>
      <c r="I678">
        <v>0</v>
      </c>
      <c r="J678">
        <v>8</v>
      </c>
      <c r="M678">
        <v>4</v>
      </c>
      <c r="N678">
        <v>8</v>
      </c>
      <c r="O678">
        <v>0</v>
      </c>
      <c r="P678">
        <v>76.8</v>
      </c>
      <c r="Q678">
        <v>8</v>
      </c>
      <c r="R678">
        <v>8</v>
      </c>
      <c r="S678">
        <v>0</v>
      </c>
      <c r="T678">
        <v>0</v>
      </c>
      <c r="U678" s="1">
        <v>0</v>
      </c>
      <c r="V678">
        <v>84.8</v>
      </c>
    </row>
    <row r="679" spans="1:22" ht="15">
      <c r="A679" s="4">
        <v>672</v>
      </c>
      <c r="B679">
        <v>3142</v>
      </c>
      <c r="C679" t="s">
        <v>1644</v>
      </c>
      <c r="D679" t="s">
        <v>1645</v>
      </c>
      <c r="E679" t="s">
        <v>30</v>
      </c>
      <c r="F679" t="s">
        <v>1646</v>
      </c>
      <c r="G679" t="str">
        <f>"00529881"</f>
        <v>00529881</v>
      </c>
      <c r="H679">
        <v>64.8</v>
      </c>
      <c r="I679">
        <v>0</v>
      </c>
      <c r="J679">
        <v>16</v>
      </c>
      <c r="M679">
        <v>4</v>
      </c>
      <c r="N679">
        <v>16</v>
      </c>
      <c r="O679">
        <v>0</v>
      </c>
      <c r="P679">
        <v>84.8</v>
      </c>
      <c r="Q679">
        <v>0</v>
      </c>
      <c r="R679">
        <v>0</v>
      </c>
      <c r="S679">
        <v>0</v>
      </c>
      <c r="T679">
        <v>0</v>
      </c>
      <c r="U679" s="1">
        <v>0</v>
      </c>
      <c r="V679">
        <v>84.8</v>
      </c>
    </row>
    <row r="680" spans="1:22" ht="15">
      <c r="A680" s="4">
        <v>673</v>
      </c>
      <c r="B680">
        <v>1712</v>
      </c>
      <c r="C680" t="s">
        <v>1647</v>
      </c>
      <c r="D680" t="s">
        <v>130</v>
      </c>
      <c r="E680" t="s">
        <v>190</v>
      </c>
      <c r="F680" t="s">
        <v>1648</v>
      </c>
      <c r="G680" t="str">
        <f>"00512570"</f>
        <v>00512570</v>
      </c>
      <c r="H680">
        <v>64.8</v>
      </c>
      <c r="I680">
        <v>0</v>
      </c>
      <c r="L680">
        <v>8</v>
      </c>
      <c r="M680">
        <v>4</v>
      </c>
      <c r="N680">
        <v>8</v>
      </c>
      <c r="O680">
        <v>0</v>
      </c>
      <c r="P680">
        <v>76.8</v>
      </c>
      <c r="Q680">
        <v>8</v>
      </c>
      <c r="R680">
        <v>8</v>
      </c>
      <c r="S680">
        <v>0</v>
      </c>
      <c r="T680">
        <v>0</v>
      </c>
      <c r="U680" s="1">
        <v>0</v>
      </c>
      <c r="V680">
        <v>84.8</v>
      </c>
    </row>
    <row r="681" spans="1:22" ht="15">
      <c r="A681" s="4">
        <v>674</v>
      </c>
      <c r="B681">
        <v>2821</v>
      </c>
      <c r="C681" t="s">
        <v>1649</v>
      </c>
      <c r="D681" t="s">
        <v>1650</v>
      </c>
      <c r="E681" t="s">
        <v>59</v>
      </c>
      <c r="F681" t="s">
        <v>1651</v>
      </c>
      <c r="G681" t="str">
        <f>"00163278"</f>
        <v>00163278</v>
      </c>
      <c r="H681">
        <v>38.76</v>
      </c>
      <c r="I681">
        <v>0</v>
      </c>
      <c r="M681">
        <v>4</v>
      </c>
      <c r="N681">
        <v>0</v>
      </c>
      <c r="O681">
        <v>0</v>
      </c>
      <c r="P681">
        <v>42.76</v>
      </c>
      <c r="Q681">
        <v>42</v>
      </c>
      <c r="R681">
        <v>42</v>
      </c>
      <c r="S681">
        <v>0</v>
      </c>
      <c r="T681">
        <v>0</v>
      </c>
      <c r="U681" s="1">
        <v>0</v>
      </c>
      <c r="V681">
        <v>84.76</v>
      </c>
    </row>
    <row r="682" spans="1:22" ht="15">
      <c r="A682" s="4">
        <v>675</v>
      </c>
      <c r="B682">
        <v>2343</v>
      </c>
      <c r="C682" t="s">
        <v>1652</v>
      </c>
      <c r="D682" t="s">
        <v>280</v>
      </c>
      <c r="E682" t="s">
        <v>30</v>
      </c>
      <c r="F682" t="s">
        <v>1653</v>
      </c>
      <c r="G682" t="str">
        <f>"00162612"</f>
        <v>00162612</v>
      </c>
      <c r="H682">
        <v>35.72</v>
      </c>
      <c r="I682">
        <v>10</v>
      </c>
      <c r="M682">
        <v>0</v>
      </c>
      <c r="N682">
        <v>0</v>
      </c>
      <c r="O682">
        <v>0</v>
      </c>
      <c r="P682">
        <v>45.72</v>
      </c>
      <c r="Q682">
        <v>33</v>
      </c>
      <c r="R682">
        <v>33</v>
      </c>
      <c r="S682">
        <v>6</v>
      </c>
      <c r="T682">
        <v>0</v>
      </c>
      <c r="U682" s="1">
        <v>0</v>
      </c>
      <c r="V682">
        <v>84.72</v>
      </c>
    </row>
    <row r="683" spans="1:22" ht="15">
      <c r="A683" s="4">
        <v>676</v>
      </c>
      <c r="B683">
        <v>3404</v>
      </c>
      <c r="C683" t="s">
        <v>1654</v>
      </c>
      <c r="D683" t="s">
        <v>723</v>
      </c>
      <c r="E683" t="s">
        <v>11</v>
      </c>
      <c r="F683" t="s">
        <v>1655</v>
      </c>
      <c r="G683" t="str">
        <f>"00493044"</f>
        <v>00493044</v>
      </c>
      <c r="H683">
        <v>30.56</v>
      </c>
      <c r="I683">
        <v>0</v>
      </c>
      <c r="M683">
        <v>4</v>
      </c>
      <c r="N683">
        <v>0</v>
      </c>
      <c r="O683">
        <v>0</v>
      </c>
      <c r="P683">
        <v>34.56</v>
      </c>
      <c r="Q683">
        <v>41</v>
      </c>
      <c r="R683">
        <v>41</v>
      </c>
      <c r="S683">
        <v>9</v>
      </c>
      <c r="T683">
        <v>0</v>
      </c>
      <c r="U683" s="1">
        <v>0</v>
      </c>
      <c r="V683">
        <v>84.56</v>
      </c>
    </row>
    <row r="684" spans="1:22" ht="15">
      <c r="A684" s="4">
        <v>677</v>
      </c>
      <c r="B684">
        <v>1214</v>
      </c>
      <c r="C684" t="s">
        <v>1656</v>
      </c>
      <c r="D684" t="s">
        <v>1657</v>
      </c>
      <c r="E684" t="s">
        <v>1658</v>
      </c>
      <c r="F684" t="s">
        <v>1659</v>
      </c>
      <c r="G684" t="str">
        <f>"200811000675"</f>
        <v>200811000675</v>
      </c>
      <c r="H684">
        <v>14.4</v>
      </c>
      <c r="I684">
        <v>0</v>
      </c>
      <c r="L684">
        <v>4</v>
      </c>
      <c r="M684">
        <v>4</v>
      </c>
      <c r="N684">
        <v>4</v>
      </c>
      <c r="O684">
        <v>2</v>
      </c>
      <c r="P684">
        <v>24.4</v>
      </c>
      <c r="Q684">
        <v>60</v>
      </c>
      <c r="R684">
        <v>60</v>
      </c>
      <c r="S684">
        <v>0</v>
      </c>
      <c r="T684">
        <v>0</v>
      </c>
      <c r="U684" s="1">
        <v>0</v>
      </c>
      <c r="V684">
        <v>84.4</v>
      </c>
    </row>
    <row r="685" spans="1:22" ht="15">
      <c r="A685" s="4">
        <v>678</v>
      </c>
      <c r="B685">
        <v>2932</v>
      </c>
      <c r="C685" t="s">
        <v>1660</v>
      </c>
      <c r="D685" t="s">
        <v>1117</v>
      </c>
      <c r="E685" t="s">
        <v>1661</v>
      </c>
      <c r="F685" t="s">
        <v>1662</v>
      </c>
      <c r="G685" t="str">
        <f>"00506004"</f>
        <v>00506004</v>
      </c>
      <c r="H685">
        <v>50.4</v>
      </c>
      <c r="I685">
        <v>10</v>
      </c>
      <c r="M685">
        <v>0</v>
      </c>
      <c r="N685">
        <v>0</v>
      </c>
      <c r="O685">
        <v>0</v>
      </c>
      <c r="P685">
        <v>60.4</v>
      </c>
      <c r="Q685">
        <v>18</v>
      </c>
      <c r="R685">
        <v>18</v>
      </c>
      <c r="S685">
        <v>6</v>
      </c>
      <c r="T685">
        <v>0</v>
      </c>
      <c r="U685" s="1">
        <v>0</v>
      </c>
      <c r="V685">
        <v>84.4</v>
      </c>
    </row>
    <row r="686" spans="1:22" ht="15">
      <c r="A686" s="4">
        <v>679</v>
      </c>
      <c r="B686">
        <v>1383</v>
      </c>
      <c r="C686" t="s">
        <v>1663</v>
      </c>
      <c r="D686" t="s">
        <v>14</v>
      </c>
      <c r="E686" t="s">
        <v>19</v>
      </c>
      <c r="F686" t="s">
        <v>1664</v>
      </c>
      <c r="G686" t="str">
        <f>"00530815"</f>
        <v>00530815</v>
      </c>
      <c r="H686">
        <v>26.4</v>
      </c>
      <c r="I686">
        <v>0</v>
      </c>
      <c r="M686">
        <v>4</v>
      </c>
      <c r="N686">
        <v>0</v>
      </c>
      <c r="O686">
        <v>2</v>
      </c>
      <c r="P686">
        <v>32.4</v>
      </c>
      <c r="Q686">
        <v>49</v>
      </c>
      <c r="R686">
        <v>49</v>
      </c>
      <c r="S686">
        <v>3</v>
      </c>
      <c r="T686">
        <v>0</v>
      </c>
      <c r="U686" s="1">
        <v>0</v>
      </c>
      <c r="V686">
        <v>84.4</v>
      </c>
    </row>
    <row r="687" spans="1:22" ht="15">
      <c r="A687" s="4">
        <v>680</v>
      </c>
      <c r="B687">
        <v>979</v>
      </c>
      <c r="C687" t="s">
        <v>1182</v>
      </c>
      <c r="D687" t="s">
        <v>357</v>
      </c>
      <c r="E687" t="s">
        <v>1196</v>
      </c>
      <c r="F687" t="s">
        <v>1665</v>
      </c>
      <c r="G687" t="str">
        <f>"00532058"</f>
        <v>00532058</v>
      </c>
      <c r="H687">
        <v>7.2</v>
      </c>
      <c r="I687">
        <v>10</v>
      </c>
      <c r="L687">
        <v>8</v>
      </c>
      <c r="M687">
        <v>0</v>
      </c>
      <c r="N687">
        <v>8</v>
      </c>
      <c r="O687">
        <v>0</v>
      </c>
      <c r="P687">
        <v>25.2</v>
      </c>
      <c r="Q687">
        <v>53</v>
      </c>
      <c r="R687">
        <v>53</v>
      </c>
      <c r="S687">
        <v>6</v>
      </c>
      <c r="T687">
        <v>0</v>
      </c>
      <c r="U687" s="1">
        <v>0</v>
      </c>
      <c r="V687">
        <v>84.2</v>
      </c>
    </row>
    <row r="688" spans="1:22" ht="15">
      <c r="A688" s="4">
        <v>681</v>
      </c>
      <c r="B688">
        <v>2539</v>
      </c>
      <c r="C688" t="s">
        <v>304</v>
      </c>
      <c r="D688" t="s">
        <v>29</v>
      </c>
      <c r="E688" t="s">
        <v>270</v>
      </c>
      <c r="F688" t="s">
        <v>1666</v>
      </c>
      <c r="G688" t="str">
        <f>"00478776"</f>
        <v>00478776</v>
      </c>
      <c r="H688">
        <v>43.2</v>
      </c>
      <c r="I688">
        <v>0</v>
      </c>
      <c r="L688">
        <v>4</v>
      </c>
      <c r="M688">
        <v>4</v>
      </c>
      <c r="N688">
        <v>4</v>
      </c>
      <c r="O688">
        <v>0</v>
      </c>
      <c r="P688">
        <v>51.2</v>
      </c>
      <c r="Q688">
        <v>33</v>
      </c>
      <c r="R688">
        <v>33</v>
      </c>
      <c r="S688">
        <v>0</v>
      </c>
      <c r="T688">
        <v>0</v>
      </c>
      <c r="U688" s="1">
        <v>0</v>
      </c>
      <c r="V688">
        <v>84.2</v>
      </c>
    </row>
    <row r="689" spans="1:22" ht="15">
      <c r="A689" s="4">
        <v>682</v>
      </c>
      <c r="B689">
        <v>1854</v>
      </c>
      <c r="C689" t="s">
        <v>1667</v>
      </c>
      <c r="D689" t="s">
        <v>1668</v>
      </c>
      <c r="E689" t="s">
        <v>11</v>
      </c>
      <c r="F689" t="s">
        <v>1669</v>
      </c>
      <c r="G689" t="str">
        <f>"200802009174"</f>
        <v>200802009174</v>
      </c>
      <c r="H689">
        <v>39.08</v>
      </c>
      <c r="I689">
        <v>0</v>
      </c>
      <c r="J689">
        <v>8</v>
      </c>
      <c r="L689">
        <v>4</v>
      </c>
      <c r="M689">
        <v>4</v>
      </c>
      <c r="N689">
        <v>12</v>
      </c>
      <c r="O689">
        <v>2</v>
      </c>
      <c r="P689">
        <v>57.08</v>
      </c>
      <c r="Q689">
        <v>24</v>
      </c>
      <c r="R689">
        <v>24</v>
      </c>
      <c r="S689">
        <v>3</v>
      </c>
      <c r="T689">
        <v>0</v>
      </c>
      <c r="U689" s="1">
        <v>0</v>
      </c>
      <c r="V689">
        <v>84.08</v>
      </c>
    </row>
    <row r="690" spans="1:22" ht="15">
      <c r="A690" s="4">
        <v>683</v>
      </c>
      <c r="B690">
        <v>2340</v>
      </c>
      <c r="C690" t="s">
        <v>533</v>
      </c>
      <c r="D690" t="s">
        <v>76</v>
      </c>
      <c r="E690" t="s">
        <v>344</v>
      </c>
      <c r="F690" t="s">
        <v>1670</v>
      </c>
      <c r="G690" t="str">
        <f>"00223076"</f>
        <v>00223076</v>
      </c>
      <c r="H690">
        <v>36</v>
      </c>
      <c r="I690">
        <v>0</v>
      </c>
      <c r="M690">
        <v>4</v>
      </c>
      <c r="N690">
        <v>0</v>
      </c>
      <c r="O690">
        <v>0</v>
      </c>
      <c r="P690">
        <v>40</v>
      </c>
      <c r="Q690">
        <v>38</v>
      </c>
      <c r="R690">
        <v>38</v>
      </c>
      <c r="S690">
        <v>6</v>
      </c>
      <c r="T690">
        <v>0</v>
      </c>
      <c r="U690" s="1">
        <v>0</v>
      </c>
      <c r="V690">
        <v>84</v>
      </c>
    </row>
    <row r="691" spans="1:22" ht="15">
      <c r="A691" s="4">
        <v>684</v>
      </c>
      <c r="B691">
        <v>2752</v>
      </c>
      <c r="C691" t="s">
        <v>1671</v>
      </c>
      <c r="D691" t="s">
        <v>102</v>
      </c>
      <c r="E691" t="s">
        <v>1672</v>
      </c>
      <c r="F691" t="s">
        <v>1673</v>
      </c>
      <c r="G691" t="str">
        <f>"00529758"</f>
        <v>00529758</v>
      </c>
      <c r="H691">
        <v>72</v>
      </c>
      <c r="I691">
        <v>0</v>
      </c>
      <c r="J691">
        <v>8</v>
      </c>
      <c r="M691">
        <v>4</v>
      </c>
      <c r="N691">
        <v>8</v>
      </c>
      <c r="O691">
        <v>0</v>
      </c>
      <c r="P691">
        <v>84</v>
      </c>
      <c r="Q691">
        <v>0</v>
      </c>
      <c r="R691">
        <v>0</v>
      </c>
      <c r="S691">
        <v>0</v>
      </c>
      <c r="T691">
        <v>0</v>
      </c>
      <c r="U691" s="1">
        <v>0</v>
      </c>
      <c r="V691">
        <v>84</v>
      </c>
    </row>
    <row r="692" spans="1:22" ht="15">
      <c r="A692" s="4">
        <v>685</v>
      </c>
      <c r="B692">
        <v>1043</v>
      </c>
      <c r="C692" t="s">
        <v>1674</v>
      </c>
      <c r="D692" t="s">
        <v>1675</v>
      </c>
      <c r="E692" t="s">
        <v>23</v>
      </c>
      <c r="F692" t="s">
        <v>1676</v>
      </c>
      <c r="G692" t="str">
        <f>"00441615"</f>
        <v>00441615</v>
      </c>
      <c r="H692">
        <v>43.2</v>
      </c>
      <c r="I692">
        <v>10</v>
      </c>
      <c r="M692">
        <v>0</v>
      </c>
      <c r="N692">
        <v>0</v>
      </c>
      <c r="O692">
        <v>0</v>
      </c>
      <c r="P692">
        <v>53.2</v>
      </c>
      <c r="Q692">
        <v>1</v>
      </c>
      <c r="R692">
        <v>1</v>
      </c>
      <c r="S692">
        <v>3</v>
      </c>
      <c r="T692">
        <v>26.8</v>
      </c>
      <c r="U692" s="1">
        <v>0</v>
      </c>
      <c r="V692">
        <v>84</v>
      </c>
    </row>
    <row r="693" spans="1:22" ht="15">
      <c r="A693" s="4">
        <v>686</v>
      </c>
      <c r="B693">
        <v>2755</v>
      </c>
      <c r="C693" t="s">
        <v>1677</v>
      </c>
      <c r="D693" t="s">
        <v>280</v>
      </c>
      <c r="E693" t="s">
        <v>1678</v>
      </c>
      <c r="F693" t="s">
        <v>1679</v>
      </c>
      <c r="G693" t="str">
        <f>"00489200"</f>
        <v>00489200</v>
      </c>
      <c r="H693">
        <v>0</v>
      </c>
      <c r="I693">
        <v>0</v>
      </c>
      <c r="M693">
        <v>4</v>
      </c>
      <c r="N693">
        <v>0</v>
      </c>
      <c r="O693">
        <v>0</v>
      </c>
      <c r="P693">
        <v>4</v>
      </c>
      <c r="Q693">
        <v>80</v>
      </c>
      <c r="R693">
        <v>80</v>
      </c>
      <c r="S693">
        <v>0</v>
      </c>
      <c r="T693">
        <v>0</v>
      </c>
      <c r="U693" s="1">
        <v>0</v>
      </c>
      <c r="V693">
        <v>84</v>
      </c>
    </row>
    <row r="694" spans="1:22" ht="15">
      <c r="A694" s="4">
        <v>687</v>
      </c>
      <c r="B694">
        <v>544</v>
      </c>
      <c r="C694" t="s">
        <v>1680</v>
      </c>
      <c r="D694" t="s">
        <v>1582</v>
      </c>
      <c r="E694" t="s">
        <v>11</v>
      </c>
      <c r="F694" t="s">
        <v>1681</v>
      </c>
      <c r="G694" t="str">
        <f>"00524941"</f>
        <v>00524941</v>
      </c>
      <c r="H694">
        <v>36</v>
      </c>
      <c r="I694">
        <v>10</v>
      </c>
      <c r="M694">
        <v>4</v>
      </c>
      <c r="N694">
        <v>0</v>
      </c>
      <c r="O694">
        <v>0</v>
      </c>
      <c r="P694">
        <v>50</v>
      </c>
      <c r="Q694">
        <v>34</v>
      </c>
      <c r="R694">
        <v>34</v>
      </c>
      <c r="S694">
        <v>0</v>
      </c>
      <c r="T694">
        <v>0</v>
      </c>
      <c r="U694" s="1">
        <v>0</v>
      </c>
      <c r="V694">
        <v>84</v>
      </c>
    </row>
    <row r="695" spans="1:22" ht="15">
      <c r="A695" s="4">
        <v>688</v>
      </c>
      <c r="B695">
        <v>1824</v>
      </c>
      <c r="C695" t="s">
        <v>377</v>
      </c>
      <c r="D695" t="s">
        <v>14</v>
      </c>
      <c r="E695" t="s">
        <v>90</v>
      </c>
      <c r="F695" t="s">
        <v>1682</v>
      </c>
      <c r="G695" t="str">
        <f>"00480825"</f>
        <v>00480825</v>
      </c>
      <c r="H695">
        <v>72</v>
      </c>
      <c r="I695">
        <v>0</v>
      </c>
      <c r="M695">
        <v>4</v>
      </c>
      <c r="N695">
        <v>0</v>
      </c>
      <c r="O695">
        <v>0</v>
      </c>
      <c r="P695">
        <v>76</v>
      </c>
      <c r="Q695">
        <v>8</v>
      </c>
      <c r="R695">
        <v>8</v>
      </c>
      <c r="S695">
        <v>0</v>
      </c>
      <c r="T695">
        <v>0</v>
      </c>
      <c r="U695" s="1">
        <v>0</v>
      </c>
      <c r="V695">
        <v>84</v>
      </c>
    </row>
    <row r="696" spans="1:22" ht="15">
      <c r="A696" s="4">
        <v>689</v>
      </c>
      <c r="B696">
        <v>1752</v>
      </c>
      <c r="C696" t="s">
        <v>1683</v>
      </c>
      <c r="D696" t="s">
        <v>160</v>
      </c>
      <c r="E696" t="s">
        <v>327</v>
      </c>
      <c r="F696" t="s">
        <v>1684</v>
      </c>
      <c r="G696" t="str">
        <f>"00530156"</f>
        <v>00530156</v>
      </c>
      <c r="H696">
        <v>32</v>
      </c>
      <c r="I696">
        <v>0</v>
      </c>
      <c r="M696">
        <v>4</v>
      </c>
      <c r="N696">
        <v>0</v>
      </c>
      <c r="O696">
        <v>0</v>
      </c>
      <c r="P696">
        <v>36</v>
      </c>
      <c r="Q696">
        <v>42</v>
      </c>
      <c r="R696">
        <v>42</v>
      </c>
      <c r="S696">
        <v>6</v>
      </c>
      <c r="T696">
        <v>0</v>
      </c>
      <c r="U696" s="1">
        <v>0</v>
      </c>
      <c r="V696">
        <v>84</v>
      </c>
    </row>
    <row r="697" spans="1:22" ht="15">
      <c r="A697" s="4">
        <v>690</v>
      </c>
      <c r="B697">
        <v>109</v>
      </c>
      <c r="C697" t="s">
        <v>1685</v>
      </c>
      <c r="D697" t="s">
        <v>1686</v>
      </c>
      <c r="E697" t="s">
        <v>23</v>
      </c>
      <c r="F697" t="s">
        <v>1687</v>
      </c>
      <c r="G697" t="str">
        <f>"00506875"</f>
        <v>00506875</v>
      </c>
      <c r="H697">
        <v>72</v>
      </c>
      <c r="I697">
        <v>0</v>
      </c>
      <c r="M697">
        <v>4</v>
      </c>
      <c r="N697">
        <v>0</v>
      </c>
      <c r="O697">
        <v>0</v>
      </c>
      <c r="P697">
        <v>76</v>
      </c>
      <c r="Q697">
        <v>8</v>
      </c>
      <c r="R697">
        <v>8</v>
      </c>
      <c r="S697">
        <v>0</v>
      </c>
      <c r="T697">
        <v>0</v>
      </c>
      <c r="U697" s="1">
        <v>0</v>
      </c>
      <c r="V697">
        <v>84</v>
      </c>
    </row>
    <row r="698" spans="1:22" ht="15">
      <c r="A698" s="4">
        <v>691</v>
      </c>
      <c r="B698">
        <v>1889</v>
      </c>
      <c r="C698" t="s">
        <v>1688</v>
      </c>
      <c r="D698" t="s">
        <v>170</v>
      </c>
      <c r="E698" t="s">
        <v>30</v>
      </c>
      <c r="F698" t="s">
        <v>1689</v>
      </c>
      <c r="G698" t="str">
        <f>"00153073"</f>
        <v>00153073</v>
      </c>
      <c r="H698">
        <v>0</v>
      </c>
      <c r="I698">
        <v>10</v>
      </c>
      <c r="M698">
        <v>4</v>
      </c>
      <c r="N698">
        <v>0</v>
      </c>
      <c r="O698">
        <v>0</v>
      </c>
      <c r="P698">
        <v>14</v>
      </c>
      <c r="Q698">
        <v>70</v>
      </c>
      <c r="R698">
        <v>70</v>
      </c>
      <c r="S698">
        <v>0</v>
      </c>
      <c r="T698">
        <v>0</v>
      </c>
      <c r="U698" s="1" t="s">
        <v>6251</v>
      </c>
      <c r="V698">
        <v>84</v>
      </c>
    </row>
    <row r="699" spans="1:22" ht="15">
      <c r="A699" s="4">
        <v>692</v>
      </c>
      <c r="B699">
        <v>346</v>
      </c>
      <c r="C699" t="s">
        <v>1690</v>
      </c>
      <c r="D699" t="s">
        <v>40</v>
      </c>
      <c r="E699" t="s">
        <v>295</v>
      </c>
      <c r="F699" t="s">
        <v>1691</v>
      </c>
      <c r="G699" t="str">
        <f>"200912000244"</f>
        <v>200912000244</v>
      </c>
      <c r="H699">
        <v>72</v>
      </c>
      <c r="I699">
        <v>0</v>
      </c>
      <c r="J699">
        <v>8</v>
      </c>
      <c r="M699">
        <v>4</v>
      </c>
      <c r="N699">
        <v>8</v>
      </c>
      <c r="O699">
        <v>0</v>
      </c>
      <c r="P699">
        <v>84</v>
      </c>
      <c r="Q699">
        <v>0</v>
      </c>
      <c r="R699">
        <v>0</v>
      </c>
      <c r="S699">
        <v>0</v>
      </c>
      <c r="T699">
        <v>0</v>
      </c>
      <c r="U699" s="1">
        <v>0</v>
      </c>
      <c r="V699">
        <v>84</v>
      </c>
    </row>
    <row r="700" spans="1:22" ht="15">
      <c r="A700" s="4">
        <v>693</v>
      </c>
      <c r="B700">
        <v>3149</v>
      </c>
      <c r="C700" t="s">
        <v>1692</v>
      </c>
      <c r="D700" t="s">
        <v>156</v>
      </c>
      <c r="E700" t="s">
        <v>41</v>
      </c>
      <c r="F700" t="s">
        <v>1693</v>
      </c>
      <c r="G700" t="str">
        <f>"201510002078"</f>
        <v>201510002078</v>
      </c>
      <c r="H700">
        <v>32.88</v>
      </c>
      <c r="I700">
        <v>0</v>
      </c>
      <c r="L700">
        <v>4</v>
      </c>
      <c r="M700">
        <v>4</v>
      </c>
      <c r="N700">
        <v>4</v>
      </c>
      <c r="O700">
        <v>0</v>
      </c>
      <c r="P700">
        <v>40.88</v>
      </c>
      <c r="Q700">
        <v>37</v>
      </c>
      <c r="R700">
        <v>37</v>
      </c>
      <c r="S700">
        <v>6</v>
      </c>
      <c r="T700">
        <v>0</v>
      </c>
      <c r="U700" s="1">
        <v>0</v>
      </c>
      <c r="V700">
        <v>83.88</v>
      </c>
    </row>
    <row r="701" spans="1:22" ht="15">
      <c r="A701" s="4">
        <v>694</v>
      </c>
      <c r="B701">
        <v>1519</v>
      </c>
      <c r="C701" t="s">
        <v>1694</v>
      </c>
      <c r="D701" t="s">
        <v>124</v>
      </c>
      <c r="E701" t="s">
        <v>30</v>
      </c>
      <c r="F701" t="s">
        <v>1695</v>
      </c>
      <c r="G701" t="str">
        <f>"00148356"</f>
        <v>00148356</v>
      </c>
      <c r="H701">
        <v>28.8</v>
      </c>
      <c r="I701">
        <v>10</v>
      </c>
      <c r="J701">
        <v>8</v>
      </c>
      <c r="M701">
        <v>4</v>
      </c>
      <c r="N701">
        <v>8</v>
      </c>
      <c r="O701">
        <v>0</v>
      </c>
      <c r="P701">
        <v>50.8</v>
      </c>
      <c r="Q701">
        <v>33</v>
      </c>
      <c r="R701">
        <v>33</v>
      </c>
      <c r="S701">
        <v>0</v>
      </c>
      <c r="T701">
        <v>0</v>
      </c>
      <c r="U701" s="1" t="s">
        <v>6251</v>
      </c>
      <c r="V701">
        <v>83.8</v>
      </c>
    </row>
    <row r="702" spans="1:22" ht="15">
      <c r="A702" s="4">
        <v>695</v>
      </c>
      <c r="B702">
        <v>2176</v>
      </c>
      <c r="C702" t="s">
        <v>1696</v>
      </c>
      <c r="D702" t="s">
        <v>1697</v>
      </c>
      <c r="E702" t="s">
        <v>403</v>
      </c>
      <c r="F702" t="s">
        <v>1698</v>
      </c>
      <c r="G702" t="str">
        <f>"00504911"</f>
        <v>00504911</v>
      </c>
      <c r="H702">
        <v>28.8</v>
      </c>
      <c r="I702">
        <v>0</v>
      </c>
      <c r="L702">
        <v>4</v>
      </c>
      <c r="M702">
        <v>4</v>
      </c>
      <c r="N702">
        <v>4</v>
      </c>
      <c r="O702">
        <v>0</v>
      </c>
      <c r="P702">
        <v>36.8</v>
      </c>
      <c r="Q702">
        <v>47</v>
      </c>
      <c r="R702">
        <v>47</v>
      </c>
      <c r="S702">
        <v>0</v>
      </c>
      <c r="T702">
        <v>0</v>
      </c>
      <c r="U702" s="1">
        <v>0</v>
      </c>
      <c r="V702">
        <v>83.8</v>
      </c>
    </row>
    <row r="703" spans="1:22" ht="15">
      <c r="A703" s="4">
        <v>696</v>
      </c>
      <c r="B703">
        <v>2610</v>
      </c>
      <c r="C703" t="s">
        <v>1699</v>
      </c>
      <c r="D703" t="s">
        <v>76</v>
      </c>
      <c r="E703" t="s">
        <v>23</v>
      </c>
      <c r="F703" t="s">
        <v>1700</v>
      </c>
      <c r="G703" t="str">
        <f>"00479971"</f>
        <v>00479971</v>
      </c>
      <c r="H703">
        <v>38.68</v>
      </c>
      <c r="I703">
        <v>0</v>
      </c>
      <c r="M703">
        <v>4</v>
      </c>
      <c r="N703">
        <v>0</v>
      </c>
      <c r="O703">
        <v>0</v>
      </c>
      <c r="P703">
        <v>42.68</v>
      </c>
      <c r="Q703">
        <v>38</v>
      </c>
      <c r="R703">
        <v>38</v>
      </c>
      <c r="S703">
        <v>3</v>
      </c>
      <c r="T703">
        <v>0</v>
      </c>
      <c r="U703" s="1">
        <v>0</v>
      </c>
      <c r="V703">
        <v>83.68</v>
      </c>
    </row>
    <row r="704" spans="1:22" ht="15">
      <c r="A704" s="4">
        <v>697</v>
      </c>
      <c r="B704">
        <v>1012</v>
      </c>
      <c r="C704" t="s">
        <v>1701</v>
      </c>
      <c r="D704" t="s">
        <v>29</v>
      </c>
      <c r="E704" t="s">
        <v>11</v>
      </c>
      <c r="F704" t="s">
        <v>1702</v>
      </c>
      <c r="G704" t="str">
        <f>"00509219"</f>
        <v>00509219</v>
      </c>
      <c r="H704">
        <v>57.6</v>
      </c>
      <c r="I704">
        <v>10</v>
      </c>
      <c r="L704">
        <v>4</v>
      </c>
      <c r="M704">
        <v>4</v>
      </c>
      <c r="N704">
        <v>4</v>
      </c>
      <c r="O704">
        <v>2</v>
      </c>
      <c r="P704">
        <v>77.6</v>
      </c>
      <c r="Q704">
        <v>0</v>
      </c>
      <c r="R704">
        <v>0</v>
      </c>
      <c r="S704">
        <v>6</v>
      </c>
      <c r="T704">
        <v>0</v>
      </c>
      <c r="U704" s="1">
        <v>0</v>
      </c>
      <c r="V704">
        <v>83.6</v>
      </c>
    </row>
    <row r="705" spans="1:22" ht="15">
      <c r="A705" s="4">
        <v>698</v>
      </c>
      <c r="B705">
        <v>303</v>
      </c>
      <c r="C705" t="s">
        <v>590</v>
      </c>
      <c r="D705" t="s">
        <v>127</v>
      </c>
      <c r="E705" t="s">
        <v>593</v>
      </c>
      <c r="F705" t="s">
        <v>1703</v>
      </c>
      <c r="G705" t="str">
        <f>"00527945"</f>
        <v>00527945</v>
      </c>
      <c r="H705">
        <v>21.6</v>
      </c>
      <c r="I705">
        <v>0</v>
      </c>
      <c r="L705">
        <v>4</v>
      </c>
      <c r="M705">
        <v>4</v>
      </c>
      <c r="N705">
        <v>4</v>
      </c>
      <c r="O705">
        <v>0</v>
      </c>
      <c r="P705">
        <v>29.6</v>
      </c>
      <c r="Q705">
        <v>54</v>
      </c>
      <c r="R705">
        <v>54</v>
      </c>
      <c r="S705">
        <v>0</v>
      </c>
      <c r="T705">
        <v>0</v>
      </c>
      <c r="U705" s="1">
        <v>0</v>
      </c>
      <c r="V705">
        <v>83.6</v>
      </c>
    </row>
    <row r="706" spans="1:22" ht="15">
      <c r="A706" s="4">
        <v>699</v>
      </c>
      <c r="B706">
        <v>615</v>
      </c>
      <c r="C706" t="s">
        <v>1704</v>
      </c>
      <c r="D706" t="s">
        <v>15</v>
      </c>
      <c r="E706" t="s">
        <v>15</v>
      </c>
      <c r="F706" t="s">
        <v>1705</v>
      </c>
      <c r="G706" t="str">
        <f>"00503843"</f>
        <v>00503843</v>
      </c>
      <c r="H706">
        <v>57.6</v>
      </c>
      <c r="I706">
        <v>0</v>
      </c>
      <c r="L706">
        <v>4</v>
      </c>
      <c r="M706">
        <v>4</v>
      </c>
      <c r="N706">
        <v>4</v>
      </c>
      <c r="O706">
        <v>0</v>
      </c>
      <c r="P706">
        <v>65.6</v>
      </c>
      <c r="Q706">
        <v>18</v>
      </c>
      <c r="R706">
        <v>18</v>
      </c>
      <c r="S706">
        <v>0</v>
      </c>
      <c r="T706">
        <v>0</v>
      </c>
      <c r="U706" s="1">
        <v>0</v>
      </c>
      <c r="V706">
        <v>83.6</v>
      </c>
    </row>
    <row r="707" spans="1:22" ht="15">
      <c r="A707" s="4">
        <v>700</v>
      </c>
      <c r="B707">
        <v>1049</v>
      </c>
      <c r="C707" t="s">
        <v>1706</v>
      </c>
      <c r="D707" t="s">
        <v>1707</v>
      </c>
      <c r="E707" t="s">
        <v>47</v>
      </c>
      <c r="F707" t="s">
        <v>1708</v>
      </c>
      <c r="G707" t="str">
        <f>"00509072"</f>
        <v>00509072</v>
      </c>
      <c r="H707">
        <v>16.52</v>
      </c>
      <c r="I707">
        <v>0</v>
      </c>
      <c r="M707">
        <v>4</v>
      </c>
      <c r="N707">
        <v>0</v>
      </c>
      <c r="O707">
        <v>0</v>
      </c>
      <c r="P707">
        <v>20.52</v>
      </c>
      <c r="Q707">
        <v>63</v>
      </c>
      <c r="R707">
        <v>63</v>
      </c>
      <c r="S707">
        <v>0</v>
      </c>
      <c r="T707">
        <v>0</v>
      </c>
      <c r="U707" s="1">
        <v>0</v>
      </c>
      <c r="V707">
        <v>83.52</v>
      </c>
    </row>
    <row r="708" spans="1:22" ht="15">
      <c r="A708" s="4">
        <v>701</v>
      </c>
      <c r="B708">
        <v>531</v>
      </c>
      <c r="C708" t="s">
        <v>1709</v>
      </c>
      <c r="D708" t="s">
        <v>232</v>
      </c>
      <c r="E708" t="s">
        <v>30</v>
      </c>
      <c r="F708" t="s">
        <v>1710</v>
      </c>
      <c r="G708" t="str">
        <f>"00442077"</f>
        <v>00442077</v>
      </c>
      <c r="H708">
        <v>28.52</v>
      </c>
      <c r="I708">
        <v>0</v>
      </c>
      <c r="M708">
        <v>4</v>
      </c>
      <c r="N708">
        <v>0</v>
      </c>
      <c r="O708">
        <v>0</v>
      </c>
      <c r="P708">
        <v>32.52</v>
      </c>
      <c r="Q708">
        <v>45</v>
      </c>
      <c r="R708">
        <v>45</v>
      </c>
      <c r="S708">
        <v>6</v>
      </c>
      <c r="T708">
        <v>0</v>
      </c>
      <c r="U708" s="1">
        <v>0</v>
      </c>
      <c r="V708">
        <v>83.52</v>
      </c>
    </row>
    <row r="709" spans="1:22" ht="15">
      <c r="A709" s="4">
        <v>702</v>
      </c>
      <c r="B709">
        <v>2196</v>
      </c>
      <c r="C709" t="s">
        <v>1711</v>
      </c>
      <c r="D709" t="s">
        <v>511</v>
      </c>
      <c r="E709" t="s">
        <v>999</v>
      </c>
      <c r="F709" t="s">
        <v>1712</v>
      </c>
      <c r="G709" t="str">
        <f>"00090441"</f>
        <v>00090441</v>
      </c>
      <c r="H709">
        <v>29.44</v>
      </c>
      <c r="I709">
        <v>0</v>
      </c>
      <c r="M709">
        <v>0</v>
      </c>
      <c r="N709">
        <v>0</v>
      </c>
      <c r="O709">
        <v>0</v>
      </c>
      <c r="P709">
        <v>29.44</v>
      </c>
      <c r="Q709">
        <v>54</v>
      </c>
      <c r="R709">
        <v>54</v>
      </c>
      <c r="S709">
        <v>0</v>
      </c>
      <c r="T709">
        <v>0</v>
      </c>
      <c r="U709" s="1">
        <v>0</v>
      </c>
      <c r="V709">
        <v>83.44</v>
      </c>
    </row>
    <row r="710" spans="1:22" ht="15">
      <c r="A710" s="4">
        <v>703</v>
      </c>
      <c r="B710">
        <v>2918</v>
      </c>
      <c r="C710" t="s">
        <v>1713</v>
      </c>
      <c r="D710" t="s">
        <v>1117</v>
      </c>
      <c r="E710" t="s">
        <v>134</v>
      </c>
      <c r="F710" t="s">
        <v>1714</v>
      </c>
      <c r="G710" t="str">
        <f>"00533162"</f>
        <v>00533162</v>
      </c>
      <c r="H710">
        <v>50.4</v>
      </c>
      <c r="I710">
        <v>0</v>
      </c>
      <c r="L710">
        <v>4</v>
      </c>
      <c r="M710">
        <v>4</v>
      </c>
      <c r="N710">
        <v>4</v>
      </c>
      <c r="O710">
        <v>0</v>
      </c>
      <c r="P710">
        <v>58.4</v>
      </c>
      <c r="Q710">
        <v>25</v>
      </c>
      <c r="R710">
        <v>25</v>
      </c>
      <c r="S710">
        <v>0</v>
      </c>
      <c r="T710">
        <v>0</v>
      </c>
      <c r="U710" s="1">
        <v>0</v>
      </c>
      <c r="V710">
        <v>83.4</v>
      </c>
    </row>
    <row r="711" spans="1:22" ht="15">
      <c r="A711" s="4">
        <v>704</v>
      </c>
      <c r="B711">
        <v>2052</v>
      </c>
      <c r="C711" t="s">
        <v>1715</v>
      </c>
      <c r="D711" t="s">
        <v>1716</v>
      </c>
      <c r="E711" t="s">
        <v>90</v>
      </c>
      <c r="F711" t="s">
        <v>1717</v>
      </c>
      <c r="G711" t="str">
        <f>"00187974"</f>
        <v>00187974</v>
      </c>
      <c r="H711">
        <v>50.4</v>
      </c>
      <c r="I711">
        <v>0</v>
      </c>
      <c r="J711">
        <v>8</v>
      </c>
      <c r="M711">
        <v>4</v>
      </c>
      <c r="N711">
        <v>8</v>
      </c>
      <c r="O711">
        <v>0</v>
      </c>
      <c r="P711">
        <v>62.4</v>
      </c>
      <c r="Q711">
        <v>18</v>
      </c>
      <c r="R711">
        <v>18</v>
      </c>
      <c r="S711">
        <v>3</v>
      </c>
      <c r="T711">
        <v>0</v>
      </c>
      <c r="U711" s="1">
        <v>0</v>
      </c>
      <c r="V711">
        <v>83.4</v>
      </c>
    </row>
    <row r="712" spans="1:22" ht="15">
      <c r="A712" s="4">
        <v>705</v>
      </c>
      <c r="B712">
        <v>2929</v>
      </c>
      <c r="C712" t="s">
        <v>1718</v>
      </c>
      <c r="D712" t="s">
        <v>1371</v>
      </c>
      <c r="E712" t="s">
        <v>23</v>
      </c>
      <c r="F712" t="s">
        <v>1719</v>
      </c>
      <c r="G712" t="str">
        <f>"00523433"</f>
        <v>00523433</v>
      </c>
      <c r="H712">
        <v>50.4</v>
      </c>
      <c r="I712">
        <v>0</v>
      </c>
      <c r="L712">
        <v>4</v>
      </c>
      <c r="M712">
        <v>4</v>
      </c>
      <c r="N712">
        <v>4</v>
      </c>
      <c r="O712">
        <v>0</v>
      </c>
      <c r="P712">
        <v>58.4</v>
      </c>
      <c r="Q712">
        <v>25</v>
      </c>
      <c r="R712">
        <v>25</v>
      </c>
      <c r="S712">
        <v>0</v>
      </c>
      <c r="T712">
        <v>0</v>
      </c>
      <c r="U712" s="1">
        <v>0</v>
      </c>
      <c r="V712">
        <v>83.4</v>
      </c>
    </row>
    <row r="713" spans="1:22" ht="15">
      <c r="A713" s="4">
        <v>706</v>
      </c>
      <c r="B713">
        <v>935</v>
      </c>
      <c r="C713" t="s">
        <v>1720</v>
      </c>
      <c r="D713" t="s">
        <v>1721</v>
      </c>
      <c r="E713" t="s">
        <v>41</v>
      </c>
      <c r="F713" t="s">
        <v>1722</v>
      </c>
      <c r="G713" t="str">
        <f>"00061653"</f>
        <v>00061653</v>
      </c>
      <c r="H713">
        <v>36.36</v>
      </c>
      <c r="I713">
        <v>0</v>
      </c>
      <c r="M713">
        <v>4</v>
      </c>
      <c r="N713">
        <v>0</v>
      </c>
      <c r="O713">
        <v>0</v>
      </c>
      <c r="P713">
        <v>40.36</v>
      </c>
      <c r="Q713">
        <v>43</v>
      </c>
      <c r="R713">
        <v>43</v>
      </c>
      <c r="S713">
        <v>0</v>
      </c>
      <c r="T713">
        <v>0</v>
      </c>
      <c r="U713" s="1">
        <v>0</v>
      </c>
      <c r="V713">
        <v>83.36</v>
      </c>
    </row>
    <row r="714" spans="1:22" ht="15">
      <c r="A714" s="4">
        <v>707</v>
      </c>
      <c r="B714">
        <v>3098</v>
      </c>
      <c r="C714" t="s">
        <v>1723</v>
      </c>
      <c r="D714" t="s">
        <v>40</v>
      </c>
      <c r="E714" t="s">
        <v>90</v>
      </c>
      <c r="F714" t="s">
        <v>1724</v>
      </c>
      <c r="G714" t="str">
        <f>"00533568"</f>
        <v>00533568</v>
      </c>
      <c r="H714">
        <v>34.2</v>
      </c>
      <c r="I714">
        <v>0</v>
      </c>
      <c r="M714">
        <v>0</v>
      </c>
      <c r="N714">
        <v>0</v>
      </c>
      <c r="O714">
        <v>0</v>
      </c>
      <c r="P714">
        <v>34.2</v>
      </c>
      <c r="Q714">
        <v>43</v>
      </c>
      <c r="R714">
        <v>43</v>
      </c>
      <c r="S714">
        <v>6</v>
      </c>
      <c r="T714">
        <v>0</v>
      </c>
      <c r="U714" s="1">
        <v>0</v>
      </c>
      <c r="V714">
        <v>83.2</v>
      </c>
    </row>
    <row r="715" spans="1:22" ht="15">
      <c r="A715" s="4">
        <v>708</v>
      </c>
      <c r="B715">
        <v>3049</v>
      </c>
      <c r="C715" t="s">
        <v>1168</v>
      </c>
      <c r="D715" t="s">
        <v>568</v>
      </c>
      <c r="E715" t="s">
        <v>1725</v>
      </c>
      <c r="F715" t="s">
        <v>1726</v>
      </c>
      <c r="G715" t="str">
        <f>"00508967"</f>
        <v>00508967</v>
      </c>
      <c r="H715">
        <v>37.2</v>
      </c>
      <c r="I715">
        <v>0</v>
      </c>
      <c r="M715">
        <v>0</v>
      </c>
      <c r="N715">
        <v>0</v>
      </c>
      <c r="O715">
        <v>0</v>
      </c>
      <c r="P715">
        <v>37.2</v>
      </c>
      <c r="Q715">
        <v>46</v>
      </c>
      <c r="R715">
        <v>46</v>
      </c>
      <c r="S715">
        <v>0</v>
      </c>
      <c r="T715">
        <v>0</v>
      </c>
      <c r="U715" s="1">
        <v>0</v>
      </c>
      <c r="V715">
        <v>83.2</v>
      </c>
    </row>
    <row r="716" spans="1:22" ht="15">
      <c r="A716" s="4">
        <v>709</v>
      </c>
      <c r="B716">
        <v>1673</v>
      </c>
      <c r="C716" t="s">
        <v>1727</v>
      </c>
      <c r="D716" t="s">
        <v>211</v>
      </c>
      <c r="E716" t="s">
        <v>1180</v>
      </c>
      <c r="F716" t="s">
        <v>1728</v>
      </c>
      <c r="G716" t="str">
        <f>"00527115"</f>
        <v>00527115</v>
      </c>
      <c r="H716">
        <v>43.2</v>
      </c>
      <c r="I716">
        <v>0</v>
      </c>
      <c r="M716">
        <v>0</v>
      </c>
      <c r="N716">
        <v>0</v>
      </c>
      <c r="O716">
        <v>0</v>
      </c>
      <c r="P716">
        <v>43.2</v>
      </c>
      <c r="Q716">
        <v>37</v>
      </c>
      <c r="R716">
        <v>37</v>
      </c>
      <c r="S716">
        <v>3</v>
      </c>
      <c r="T716">
        <v>0</v>
      </c>
      <c r="U716" s="1">
        <v>0</v>
      </c>
      <c r="V716">
        <v>83.2</v>
      </c>
    </row>
    <row r="717" spans="1:22" ht="15">
      <c r="A717" s="4">
        <v>710</v>
      </c>
      <c r="B717">
        <v>26</v>
      </c>
      <c r="C717" t="s">
        <v>1729</v>
      </c>
      <c r="D717" t="s">
        <v>1730</v>
      </c>
      <c r="E717" t="s">
        <v>260</v>
      </c>
      <c r="F717" t="s">
        <v>1731</v>
      </c>
      <c r="G717" t="str">
        <f>"200809000079"</f>
        <v>200809000079</v>
      </c>
      <c r="H717">
        <v>36</v>
      </c>
      <c r="I717">
        <v>0</v>
      </c>
      <c r="K717">
        <v>6</v>
      </c>
      <c r="M717">
        <v>4</v>
      </c>
      <c r="N717">
        <v>6</v>
      </c>
      <c r="O717">
        <v>0</v>
      </c>
      <c r="P717">
        <v>46</v>
      </c>
      <c r="Q717">
        <v>34</v>
      </c>
      <c r="R717">
        <v>34</v>
      </c>
      <c r="S717">
        <v>3</v>
      </c>
      <c r="T717">
        <v>0</v>
      </c>
      <c r="U717" s="1">
        <v>0</v>
      </c>
      <c r="V717">
        <v>83</v>
      </c>
    </row>
    <row r="718" spans="1:22" ht="15">
      <c r="A718" s="4">
        <v>711</v>
      </c>
      <c r="B718">
        <v>980</v>
      </c>
      <c r="C718" t="s">
        <v>1732</v>
      </c>
      <c r="D718" t="s">
        <v>1733</v>
      </c>
      <c r="E718" t="s">
        <v>1734</v>
      </c>
      <c r="F718" t="s">
        <v>1735</v>
      </c>
      <c r="G718" t="str">
        <f>"00442084"</f>
        <v>00442084</v>
      </c>
      <c r="H718">
        <v>0</v>
      </c>
      <c r="I718">
        <v>0</v>
      </c>
      <c r="M718">
        <v>4</v>
      </c>
      <c r="N718">
        <v>0</v>
      </c>
      <c r="O718">
        <v>0</v>
      </c>
      <c r="P718">
        <v>4</v>
      </c>
      <c r="Q718">
        <v>67</v>
      </c>
      <c r="R718">
        <v>67</v>
      </c>
      <c r="S718">
        <v>12</v>
      </c>
      <c r="T718">
        <v>0</v>
      </c>
      <c r="U718" s="1">
        <v>0</v>
      </c>
      <c r="V718">
        <v>83</v>
      </c>
    </row>
    <row r="719" spans="1:22" ht="15">
      <c r="A719" s="4">
        <v>712</v>
      </c>
      <c r="B719">
        <v>1475</v>
      </c>
      <c r="C719" t="s">
        <v>1736</v>
      </c>
      <c r="D719" t="s">
        <v>29</v>
      </c>
      <c r="E719" t="s">
        <v>83</v>
      </c>
      <c r="F719" t="s">
        <v>1737</v>
      </c>
      <c r="G719" t="str">
        <f>"00503023"</f>
        <v>00503023</v>
      </c>
      <c r="H719">
        <v>29</v>
      </c>
      <c r="I719">
        <v>10</v>
      </c>
      <c r="L719">
        <v>4</v>
      </c>
      <c r="M719">
        <v>4</v>
      </c>
      <c r="N719">
        <v>4</v>
      </c>
      <c r="O719">
        <v>0</v>
      </c>
      <c r="P719">
        <v>47</v>
      </c>
      <c r="Q719">
        <v>30</v>
      </c>
      <c r="R719">
        <v>30</v>
      </c>
      <c r="S719">
        <v>6</v>
      </c>
      <c r="T719">
        <v>0</v>
      </c>
      <c r="U719" s="1">
        <v>0</v>
      </c>
      <c r="V719">
        <v>83</v>
      </c>
    </row>
    <row r="720" spans="1:22" ht="15">
      <c r="A720" s="4">
        <v>713</v>
      </c>
      <c r="B720">
        <v>1251</v>
      </c>
      <c r="C720" t="s">
        <v>1738</v>
      </c>
      <c r="D720" t="s">
        <v>40</v>
      </c>
      <c r="E720" t="s">
        <v>55</v>
      </c>
      <c r="F720" t="s">
        <v>1739</v>
      </c>
      <c r="G720" t="str">
        <f>"200802011370"</f>
        <v>200802011370</v>
      </c>
      <c r="H720">
        <v>36</v>
      </c>
      <c r="I720">
        <v>0</v>
      </c>
      <c r="M720">
        <v>0</v>
      </c>
      <c r="N720">
        <v>0</v>
      </c>
      <c r="O720">
        <v>0</v>
      </c>
      <c r="P720">
        <v>36</v>
      </c>
      <c r="Q720">
        <v>44</v>
      </c>
      <c r="R720">
        <v>44</v>
      </c>
      <c r="S720">
        <v>3</v>
      </c>
      <c r="T720">
        <v>0</v>
      </c>
      <c r="U720" s="1" t="s">
        <v>6251</v>
      </c>
      <c r="V720">
        <v>83</v>
      </c>
    </row>
    <row r="721" spans="1:22" ht="15">
      <c r="A721" s="4">
        <v>714</v>
      </c>
      <c r="B721">
        <v>872</v>
      </c>
      <c r="C721" t="s">
        <v>1740</v>
      </c>
      <c r="D721" t="s">
        <v>211</v>
      </c>
      <c r="E721" t="s">
        <v>1741</v>
      </c>
      <c r="F721" t="s">
        <v>1742</v>
      </c>
      <c r="G721" t="str">
        <f>"00516741"</f>
        <v>00516741</v>
      </c>
      <c r="H721">
        <v>36</v>
      </c>
      <c r="I721">
        <v>0</v>
      </c>
      <c r="M721">
        <v>0</v>
      </c>
      <c r="N721">
        <v>0</v>
      </c>
      <c r="O721">
        <v>0</v>
      </c>
      <c r="P721">
        <v>36</v>
      </c>
      <c r="Q721">
        <v>47</v>
      </c>
      <c r="R721">
        <v>47</v>
      </c>
      <c r="S721">
        <v>0</v>
      </c>
      <c r="T721">
        <v>0</v>
      </c>
      <c r="U721" s="1">
        <v>0</v>
      </c>
      <c r="V721">
        <v>83</v>
      </c>
    </row>
    <row r="722" spans="1:22" ht="15">
      <c r="A722" s="4">
        <v>715</v>
      </c>
      <c r="B722">
        <v>1726</v>
      </c>
      <c r="C722" t="s">
        <v>1743</v>
      </c>
      <c r="D722" t="s">
        <v>1744</v>
      </c>
      <c r="E722" t="s">
        <v>157</v>
      </c>
      <c r="F722" t="s">
        <v>1745</v>
      </c>
      <c r="G722" t="str">
        <f>"00037104"</f>
        <v>00037104</v>
      </c>
      <c r="H722">
        <v>28.88</v>
      </c>
      <c r="I722">
        <v>0</v>
      </c>
      <c r="M722">
        <v>4</v>
      </c>
      <c r="N722">
        <v>0</v>
      </c>
      <c r="O722">
        <v>2</v>
      </c>
      <c r="P722">
        <v>34.88</v>
      </c>
      <c r="Q722">
        <v>45</v>
      </c>
      <c r="R722">
        <v>45</v>
      </c>
      <c r="S722">
        <v>3</v>
      </c>
      <c r="T722">
        <v>0</v>
      </c>
      <c r="U722" s="1">
        <v>0</v>
      </c>
      <c r="V722">
        <v>82.88</v>
      </c>
    </row>
    <row r="723" spans="1:22" ht="15">
      <c r="A723" s="4">
        <v>716</v>
      </c>
      <c r="B723">
        <v>2178</v>
      </c>
      <c r="C723" t="s">
        <v>1560</v>
      </c>
      <c r="D723" t="s">
        <v>211</v>
      </c>
      <c r="E723" t="s">
        <v>732</v>
      </c>
      <c r="F723" t="s">
        <v>1746</v>
      </c>
      <c r="G723" t="str">
        <f>"00521569"</f>
        <v>00521569</v>
      </c>
      <c r="H723">
        <v>28.8</v>
      </c>
      <c r="I723">
        <v>10</v>
      </c>
      <c r="M723">
        <v>4</v>
      </c>
      <c r="N723">
        <v>0</v>
      </c>
      <c r="O723">
        <v>0</v>
      </c>
      <c r="P723">
        <v>42.8</v>
      </c>
      <c r="Q723">
        <v>40</v>
      </c>
      <c r="R723">
        <v>40</v>
      </c>
      <c r="S723">
        <v>0</v>
      </c>
      <c r="T723">
        <v>0</v>
      </c>
      <c r="U723" s="1">
        <v>0</v>
      </c>
      <c r="V723">
        <v>82.8</v>
      </c>
    </row>
    <row r="724" spans="1:22" ht="15">
      <c r="A724" s="4">
        <v>717</v>
      </c>
      <c r="B724">
        <v>327</v>
      </c>
      <c r="C724" t="s">
        <v>1747</v>
      </c>
      <c r="D724" t="s">
        <v>1748</v>
      </c>
      <c r="E724" t="s">
        <v>1749</v>
      </c>
      <c r="F724" t="s">
        <v>1750</v>
      </c>
      <c r="G724" t="str">
        <f>"00504398"</f>
        <v>00504398</v>
      </c>
      <c r="H724">
        <v>28.8</v>
      </c>
      <c r="I724">
        <v>0</v>
      </c>
      <c r="M724">
        <v>4</v>
      </c>
      <c r="N724">
        <v>0</v>
      </c>
      <c r="O724">
        <v>0</v>
      </c>
      <c r="P724">
        <v>32.8</v>
      </c>
      <c r="Q724">
        <v>50</v>
      </c>
      <c r="R724">
        <v>50</v>
      </c>
      <c r="S724">
        <v>0</v>
      </c>
      <c r="T724">
        <v>0</v>
      </c>
      <c r="U724" s="1">
        <v>0</v>
      </c>
      <c r="V724">
        <v>82.8</v>
      </c>
    </row>
    <row r="725" spans="1:22" ht="15">
      <c r="A725" s="4">
        <v>718</v>
      </c>
      <c r="B725">
        <v>3090</v>
      </c>
      <c r="C725" t="s">
        <v>1751</v>
      </c>
      <c r="D725" t="s">
        <v>14</v>
      </c>
      <c r="E725" t="s">
        <v>1233</v>
      </c>
      <c r="F725" t="s">
        <v>1752</v>
      </c>
      <c r="G725" t="str">
        <f>"00532502"</f>
        <v>00532502</v>
      </c>
      <c r="H725">
        <v>28.8</v>
      </c>
      <c r="I725">
        <v>0</v>
      </c>
      <c r="M725">
        <v>4</v>
      </c>
      <c r="N725">
        <v>0</v>
      </c>
      <c r="O725">
        <v>0</v>
      </c>
      <c r="P725">
        <v>32.8</v>
      </c>
      <c r="Q725">
        <v>50</v>
      </c>
      <c r="R725">
        <v>50</v>
      </c>
      <c r="S725">
        <v>0</v>
      </c>
      <c r="T725">
        <v>0</v>
      </c>
      <c r="U725" s="1">
        <v>0</v>
      </c>
      <c r="V725">
        <v>82.8</v>
      </c>
    </row>
    <row r="726" spans="1:22" ht="15">
      <c r="A726" s="4">
        <v>719</v>
      </c>
      <c r="B726">
        <v>3065</v>
      </c>
      <c r="C726" t="s">
        <v>1753</v>
      </c>
      <c r="D726" t="s">
        <v>280</v>
      </c>
      <c r="E726" t="s">
        <v>30</v>
      </c>
      <c r="F726" t="s">
        <v>1754</v>
      </c>
      <c r="G726" t="str">
        <f>"00483244"</f>
        <v>00483244</v>
      </c>
      <c r="H726">
        <v>64.8</v>
      </c>
      <c r="I726">
        <v>0</v>
      </c>
      <c r="K726">
        <v>6</v>
      </c>
      <c r="M726">
        <v>4</v>
      </c>
      <c r="N726">
        <v>6</v>
      </c>
      <c r="O726">
        <v>0</v>
      </c>
      <c r="P726">
        <v>74.8</v>
      </c>
      <c r="Q726">
        <v>8</v>
      </c>
      <c r="R726">
        <v>8</v>
      </c>
      <c r="S726">
        <v>0</v>
      </c>
      <c r="T726">
        <v>0</v>
      </c>
      <c r="U726" s="1">
        <v>0</v>
      </c>
      <c r="V726">
        <v>82.8</v>
      </c>
    </row>
    <row r="727" spans="1:22" ht="15">
      <c r="A727" s="4">
        <v>720</v>
      </c>
      <c r="B727">
        <v>1996</v>
      </c>
      <c r="C727" t="s">
        <v>1755</v>
      </c>
      <c r="D727" t="s">
        <v>121</v>
      </c>
      <c r="E727" t="s">
        <v>1756</v>
      </c>
      <c r="F727" t="s">
        <v>1757</v>
      </c>
      <c r="G727" t="str">
        <f>"200712002506"</f>
        <v>200712002506</v>
      </c>
      <c r="H727">
        <v>9.6</v>
      </c>
      <c r="I727">
        <v>0</v>
      </c>
      <c r="M727">
        <v>4</v>
      </c>
      <c r="N727">
        <v>0</v>
      </c>
      <c r="O727">
        <v>0</v>
      </c>
      <c r="P727">
        <v>13.6</v>
      </c>
      <c r="Q727">
        <v>69</v>
      </c>
      <c r="R727">
        <v>69</v>
      </c>
      <c r="S727">
        <v>0</v>
      </c>
      <c r="T727">
        <v>0</v>
      </c>
      <c r="U727" s="1">
        <v>0</v>
      </c>
      <c r="V727">
        <v>82.6</v>
      </c>
    </row>
    <row r="728" spans="1:22" ht="15">
      <c r="A728" s="4">
        <v>721</v>
      </c>
      <c r="B728">
        <v>2153</v>
      </c>
      <c r="C728" t="s">
        <v>1758</v>
      </c>
      <c r="D728" t="s">
        <v>1759</v>
      </c>
      <c r="E728" t="s">
        <v>90</v>
      </c>
      <c r="F728" t="s">
        <v>1760</v>
      </c>
      <c r="G728" t="str">
        <f>"00532022"</f>
        <v>00532022</v>
      </c>
      <c r="H728">
        <v>57.6</v>
      </c>
      <c r="I728">
        <v>0</v>
      </c>
      <c r="J728">
        <v>8</v>
      </c>
      <c r="K728">
        <v>6</v>
      </c>
      <c r="M728">
        <v>4</v>
      </c>
      <c r="N728">
        <v>14</v>
      </c>
      <c r="O728">
        <v>0</v>
      </c>
      <c r="P728">
        <v>75.6</v>
      </c>
      <c r="Q728">
        <v>7</v>
      </c>
      <c r="R728">
        <v>7</v>
      </c>
      <c r="S728">
        <v>0</v>
      </c>
      <c r="T728">
        <v>0</v>
      </c>
      <c r="U728" s="1">
        <v>0</v>
      </c>
      <c r="V728">
        <v>82.6</v>
      </c>
    </row>
    <row r="729" spans="1:22" ht="15">
      <c r="A729" s="4">
        <v>722</v>
      </c>
      <c r="B729">
        <v>2284</v>
      </c>
      <c r="C729" t="s">
        <v>1761</v>
      </c>
      <c r="D729" t="s">
        <v>14</v>
      </c>
      <c r="E729" t="s">
        <v>73</v>
      </c>
      <c r="F729" t="s">
        <v>1762</v>
      </c>
      <c r="G729" t="str">
        <f>"00530673"</f>
        <v>00530673</v>
      </c>
      <c r="H729">
        <v>57.6</v>
      </c>
      <c r="I729">
        <v>0</v>
      </c>
      <c r="M729">
        <v>0</v>
      </c>
      <c r="N729">
        <v>0</v>
      </c>
      <c r="O729">
        <v>0</v>
      </c>
      <c r="P729">
        <v>57.6</v>
      </c>
      <c r="Q729">
        <v>25</v>
      </c>
      <c r="R729">
        <v>25</v>
      </c>
      <c r="S729">
        <v>0</v>
      </c>
      <c r="T729">
        <v>0</v>
      </c>
      <c r="U729" s="1">
        <v>0</v>
      </c>
      <c r="V729">
        <v>82.6</v>
      </c>
    </row>
    <row r="730" spans="1:22" ht="15">
      <c r="A730" s="4">
        <v>723</v>
      </c>
      <c r="B730">
        <v>2693</v>
      </c>
      <c r="C730" t="s">
        <v>1763</v>
      </c>
      <c r="D730" t="s">
        <v>89</v>
      </c>
      <c r="E730" t="s">
        <v>364</v>
      </c>
      <c r="F730" t="s">
        <v>1764</v>
      </c>
      <c r="G730" t="str">
        <f>"20160706542"</f>
        <v>20160706542</v>
      </c>
      <c r="H730">
        <v>57.6</v>
      </c>
      <c r="I730">
        <v>10</v>
      </c>
      <c r="L730">
        <v>4</v>
      </c>
      <c r="M730">
        <v>0</v>
      </c>
      <c r="N730">
        <v>4</v>
      </c>
      <c r="O730">
        <v>0</v>
      </c>
      <c r="P730">
        <v>71.6</v>
      </c>
      <c r="Q730">
        <v>8</v>
      </c>
      <c r="R730">
        <v>8</v>
      </c>
      <c r="S730">
        <v>3</v>
      </c>
      <c r="T730">
        <v>0</v>
      </c>
      <c r="U730" s="1">
        <v>0</v>
      </c>
      <c r="V730">
        <v>82.6</v>
      </c>
    </row>
    <row r="731" spans="1:22" ht="15">
      <c r="A731" s="4">
        <v>724</v>
      </c>
      <c r="B731">
        <v>3058</v>
      </c>
      <c r="C731" t="s">
        <v>915</v>
      </c>
      <c r="D731" t="s">
        <v>485</v>
      </c>
      <c r="E731" t="s">
        <v>73</v>
      </c>
      <c r="F731" t="s">
        <v>1765</v>
      </c>
      <c r="G731" t="str">
        <f>"201511042262"</f>
        <v>201511042262</v>
      </c>
      <c r="H731">
        <v>37.44</v>
      </c>
      <c r="I731">
        <v>0</v>
      </c>
      <c r="M731">
        <v>4</v>
      </c>
      <c r="N731">
        <v>0</v>
      </c>
      <c r="O731">
        <v>2</v>
      </c>
      <c r="P731">
        <v>43.44</v>
      </c>
      <c r="Q731">
        <v>39</v>
      </c>
      <c r="R731">
        <v>39</v>
      </c>
      <c r="S731">
        <v>0</v>
      </c>
      <c r="T731">
        <v>0</v>
      </c>
      <c r="U731" s="1">
        <v>0</v>
      </c>
      <c r="V731">
        <v>82.44</v>
      </c>
    </row>
    <row r="732" spans="1:22" ht="15">
      <c r="A732" s="4">
        <v>725</v>
      </c>
      <c r="B732">
        <v>637</v>
      </c>
      <c r="C732" t="s">
        <v>1766</v>
      </c>
      <c r="D732" t="s">
        <v>30</v>
      </c>
      <c r="E732" t="s">
        <v>112</v>
      </c>
      <c r="F732" t="s">
        <v>1767</v>
      </c>
      <c r="G732" t="str">
        <f>"200802002580"</f>
        <v>200802002580</v>
      </c>
      <c r="H732">
        <v>50.4</v>
      </c>
      <c r="I732">
        <v>0</v>
      </c>
      <c r="L732">
        <v>4</v>
      </c>
      <c r="M732">
        <v>4</v>
      </c>
      <c r="N732">
        <v>4</v>
      </c>
      <c r="O732">
        <v>0</v>
      </c>
      <c r="P732">
        <v>58.4</v>
      </c>
      <c r="Q732">
        <v>24</v>
      </c>
      <c r="R732">
        <v>24</v>
      </c>
      <c r="S732">
        <v>0</v>
      </c>
      <c r="T732">
        <v>0</v>
      </c>
      <c r="U732" s="1">
        <v>0</v>
      </c>
      <c r="V732">
        <v>82.4</v>
      </c>
    </row>
    <row r="733" spans="1:22" ht="15">
      <c r="A733" s="4">
        <v>726</v>
      </c>
      <c r="B733">
        <v>3116</v>
      </c>
      <c r="C733" t="s">
        <v>1768</v>
      </c>
      <c r="D733" t="s">
        <v>29</v>
      </c>
      <c r="E733" t="s">
        <v>55</v>
      </c>
      <c r="F733" t="s">
        <v>1769</v>
      </c>
      <c r="G733" t="str">
        <f>"00531796"</f>
        <v>00531796</v>
      </c>
      <c r="H733">
        <v>20.36</v>
      </c>
      <c r="I733">
        <v>0</v>
      </c>
      <c r="M733">
        <v>4</v>
      </c>
      <c r="N733">
        <v>0</v>
      </c>
      <c r="O733">
        <v>0</v>
      </c>
      <c r="P733">
        <v>24.36</v>
      </c>
      <c r="Q733">
        <v>52</v>
      </c>
      <c r="R733">
        <v>52</v>
      </c>
      <c r="S733">
        <v>6</v>
      </c>
      <c r="T733">
        <v>0</v>
      </c>
      <c r="U733" s="1">
        <v>0</v>
      </c>
      <c r="V733">
        <v>82.36</v>
      </c>
    </row>
    <row r="734" spans="1:22" ht="15">
      <c r="A734" s="4">
        <v>727</v>
      </c>
      <c r="B734">
        <v>1653</v>
      </c>
      <c r="C734" t="s">
        <v>1350</v>
      </c>
      <c r="D734" t="s">
        <v>266</v>
      </c>
      <c r="E734" t="s">
        <v>15</v>
      </c>
      <c r="F734" t="s">
        <v>1770</v>
      </c>
      <c r="G734" t="str">
        <f>"00505116"</f>
        <v>00505116</v>
      </c>
      <c r="H734">
        <v>25.32</v>
      </c>
      <c r="I734">
        <v>0</v>
      </c>
      <c r="J734">
        <v>8</v>
      </c>
      <c r="M734">
        <v>4</v>
      </c>
      <c r="N734">
        <v>8</v>
      </c>
      <c r="O734">
        <v>0</v>
      </c>
      <c r="P734">
        <v>37.32</v>
      </c>
      <c r="Q734">
        <v>39</v>
      </c>
      <c r="R734">
        <v>39</v>
      </c>
      <c r="S734">
        <v>6</v>
      </c>
      <c r="T734">
        <v>0</v>
      </c>
      <c r="U734" s="1">
        <v>0</v>
      </c>
      <c r="V734">
        <v>82.32</v>
      </c>
    </row>
    <row r="735" spans="1:22" ht="15">
      <c r="A735" s="4">
        <v>728</v>
      </c>
      <c r="B735">
        <v>1473</v>
      </c>
      <c r="C735" t="s">
        <v>1771</v>
      </c>
      <c r="D735" t="s">
        <v>176</v>
      </c>
      <c r="E735" t="s">
        <v>1772</v>
      </c>
      <c r="F735" t="s">
        <v>1773</v>
      </c>
      <c r="G735" t="str">
        <f>"00444763"</f>
        <v>00444763</v>
      </c>
      <c r="H735">
        <v>32.28</v>
      </c>
      <c r="I735">
        <v>0</v>
      </c>
      <c r="J735">
        <v>8</v>
      </c>
      <c r="M735">
        <v>4</v>
      </c>
      <c r="N735">
        <v>8</v>
      </c>
      <c r="O735">
        <v>2</v>
      </c>
      <c r="P735">
        <v>46.28</v>
      </c>
      <c r="Q735">
        <v>33</v>
      </c>
      <c r="R735">
        <v>33</v>
      </c>
      <c r="S735">
        <v>3</v>
      </c>
      <c r="T735">
        <v>0</v>
      </c>
      <c r="U735" s="1">
        <v>0</v>
      </c>
      <c r="V735">
        <v>82.28</v>
      </c>
    </row>
    <row r="736" spans="1:22" ht="15">
      <c r="A736" s="4">
        <v>729</v>
      </c>
      <c r="B736">
        <v>103</v>
      </c>
      <c r="C736" t="s">
        <v>297</v>
      </c>
      <c r="D736" t="s">
        <v>1774</v>
      </c>
      <c r="E736" t="s">
        <v>19</v>
      </c>
      <c r="F736" t="s">
        <v>1775</v>
      </c>
      <c r="G736" t="str">
        <f>"00079617"</f>
        <v>00079617</v>
      </c>
      <c r="H736">
        <v>38.24</v>
      </c>
      <c r="I736">
        <v>0</v>
      </c>
      <c r="L736">
        <v>4</v>
      </c>
      <c r="M736">
        <v>4</v>
      </c>
      <c r="N736">
        <v>4</v>
      </c>
      <c r="O736">
        <v>0</v>
      </c>
      <c r="P736">
        <v>46.24</v>
      </c>
      <c r="Q736">
        <v>33</v>
      </c>
      <c r="R736">
        <v>33</v>
      </c>
      <c r="S736">
        <v>3</v>
      </c>
      <c r="T736">
        <v>0</v>
      </c>
      <c r="U736" s="1">
        <v>0</v>
      </c>
      <c r="V736">
        <v>82.24</v>
      </c>
    </row>
    <row r="737" spans="1:22" ht="15">
      <c r="A737" s="4">
        <v>730</v>
      </c>
      <c r="B737">
        <v>1725</v>
      </c>
      <c r="C737" t="s">
        <v>883</v>
      </c>
      <c r="D737" t="s">
        <v>273</v>
      </c>
      <c r="E737" t="s">
        <v>90</v>
      </c>
      <c r="F737" t="s">
        <v>1776</v>
      </c>
      <c r="G737" t="str">
        <f>"00531041"</f>
        <v>00531041</v>
      </c>
      <c r="H737">
        <v>43.2</v>
      </c>
      <c r="I737">
        <v>0</v>
      </c>
      <c r="J737">
        <v>8</v>
      </c>
      <c r="M737">
        <v>4</v>
      </c>
      <c r="N737">
        <v>8</v>
      </c>
      <c r="O737">
        <v>2</v>
      </c>
      <c r="P737">
        <v>57.2</v>
      </c>
      <c r="Q737">
        <v>25</v>
      </c>
      <c r="R737">
        <v>25</v>
      </c>
      <c r="S737">
        <v>0</v>
      </c>
      <c r="T737">
        <v>0</v>
      </c>
      <c r="U737" s="1">
        <v>0</v>
      </c>
      <c r="V737">
        <v>82.2</v>
      </c>
    </row>
    <row r="738" spans="1:22" ht="15">
      <c r="A738" s="4">
        <v>731</v>
      </c>
      <c r="B738">
        <v>799</v>
      </c>
      <c r="C738" t="s">
        <v>1777</v>
      </c>
      <c r="D738" t="s">
        <v>89</v>
      </c>
      <c r="E738" t="s">
        <v>23</v>
      </c>
      <c r="F738" t="s">
        <v>1778</v>
      </c>
      <c r="G738" t="str">
        <f>"00516406"</f>
        <v>00516406</v>
      </c>
      <c r="H738">
        <v>7.2</v>
      </c>
      <c r="I738">
        <v>0</v>
      </c>
      <c r="M738">
        <v>4</v>
      </c>
      <c r="N738">
        <v>0</v>
      </c>
      <c r="O738">
        <v>0</v>
      </c>
      <c r="P738">
        <v>11.2</v>
      </c>
      <c r="Q738">
        <v>68</v>
      </c>
      <c r="R738">
        <v>68</v>
      </c>
      <c r="S738">
        <v>3</v>
      </c>
      <c r="T738">
        <v>0</v>
      </c>
      <c r="U738" s="1">
        <v>0</v>
      </c>
      <c r="V738">
        <v>82.2</v>
      </c>
    </row>
    <row r="739" spans="1:22" ht="15">
      <c r="A739" s="4">
        <v>732</v>
      </c>
      <c r="B739">
        <v>1072</v>
      </c>
      <c r="C739" t="s">
        <v>1779</v>
      </c>
      <c r="D739" t="s">
        <v>467</v>
      </c>
      <c r="E739" t="s">
        <v>19</v>
      </c>
      <c r="F739" t="s">
        <v>1780</v>
      </c>
      <c r="G739" t="str">
        <f>"00509195"</f>
        <v>00509195</v>
      </c>
      <c r="H739">
        <v>31.16</v>
      </c>
      <c r="I739">
        <v>0</v>
      </c>
      <c r="K739">
        <v>6</v>
      </c>
      <c r="M739">
        <v>4</v>
      </c>
      <c r="N739">
        <v>6</v>
      </c>
      <c r="O739">
        <v>0</v>
      </c>
      <c r="P739">
        <v>41.16</v>
      </c>
      <c r="Q739">
        <v>38</v>
      </c>
      <c r="R739">
        <v>38</v>
      </c>
      <c r="S739">
        <v>3</v>
      </c>
      <c r="T739">
        <v>0</v>
      </c>
      <c r="U739" s="1">
        <v>0</v>
      </c>
      <c r="V739">
        <v>82.16</v>
      </c>
    </row>
    <row r="740" spans="1:22" ht="15">
      <c r="A740" s="4">
        <v>733</v>
      </c>
      <c r="B740">
        <v>2936</v>
      </c>
      <c r="C740" t="s">
        <v>1781</v>
      </c>
      <c r="D740" t="s">
        <v>643</v>
      </c>
      <c r="E740" t="s">
        <v>30</v>
      </c>
      <c r="F740" t="s">
        <v>1782</v>
      </c>
      <c r="G740" t="str">
        <f>"00530738"</f>
        <v>00530738</v>
      </c>
      <c r="H740">
        <v>36</v>
      </c>
      <c r="I740">
        <v>0</v>
      </c>
      <c r="M740">
        <v>4</v>
      </c>
      <c r="N740">
        <v>0</v>
      </c>
      <c r="O740">
        <v>0</v>
      </c>
      <c r="P740">
        <v>40</v>
      </c>
      <c r="Q740">
        <v>7</v>
      </c>
      <c r="R740">
        <v>7</v>
      </c>
      <c r="S740">
        <v>3</v>
      </c>
      <c r="T740">
        <v>32</v>
      </c>
      <c r="U740" s="1">
        <v>0</v>
      </c>
      <c r="V740">
        <v>82</v>
      </c>
    </row>
    <row r="741" spans="1:22" ht="15">
      <c r="A741" s="4">
        <v>734</v>
      </c>
      <c r="B741">
        <v>3052</v>
      </c>
      <c r="C741" t="s">
        <v>1783</v>
      </c>
      <c r="D741" t="s">
        <v>1784</v>
      </c>
      <c r="E741" t="s">
        <v>270</v>
      </c>
      <c r="F741" t="s">
        <v>1785</v>
      </c>
      <c r="G741" t="str">
        <f>"00330609"</f>
        <v>00330609</v>
      </c>
      <c r="H741">
        <v>72</v>
      </c>
      <c r="I741">
        <v>0</v>
      </c>
      <c r="M741">
        <v>4</v>
      </c>
      <c r="N741">
        <v>0</v>
      </c>
      <c r="O741">
        <v>0</v>
      </c>
      <c r="P741">
        <v>76</v>
      </c>
      <c r="Q741">
        <v>0</v>
      </c>
      <c r="R741">
        <v>0</v>
      </c>
      <c r="S741">
        <v>6</v>
      </c>
      <c r="T741">
        <v>0</v>
      </c>
      <c r="U741" s="1">
        <v>0</v>
      </c>
      <c r="V741">
        <v>82</v>
      </c>
    </row>
    <row r="742" spans="1:22" ht="15">
      <c r="A742" s="4">
        <v>735</v>
      </c>
      <c r="B742">
        <v>131</v>
      </c>
      <c r="C742" t="s">
        <v>1786</v>
      </c>
      <c r="D742" t="s">
        <v>102</v>
      </c>
      <c r="E742" t="s">
        <v>447</v>
      </c>
      <c r="F742" t="s">
        <v>1787</v>
      </c>
      <c r="G742" t="str">
        <f>"00266529"</f>
        <v>00266529</v>
      </c>
      <c r="H742">
        <v>64.8</v>
      </c>
      <c r="I742">
        <v>0</v>
      </c>
      <c r="M742">
        <v>4</v>
      </c>
      <c r="N742">
        <v>0</v>
      </c>
      <c r="O742">
        <v>2</v>
      </c>
      <c r="P742">
        <v>70.8</v>
      </c>
      <c r="Q742">
        <v>8</v>
      </c>
      <c r="R742">
        <v>8</v>
      </c>
      <c r="S742">
        <v>3</v>
      </c>
      <c r="T742">
        <v>0</v>
      </c>
      <c r="U742" s="1">
        <v>0</v>
      </c>
      <c r="V742">
        <v>81.8</v>
      </c>
    </row>
    <row r="743" spans="1:22" ht="15">
      <c r="A743" s="4">
        <v>736</v>
      </c>
      <c r="B743">
        <v>1321</v>
      </c>
      <c r="C743" t="s">
        <v>876</v>
      </c>
      <c r="D743" t="s">
        <v>173</v>
      </c>
      <c r="E743" t="s">
        <v>344</v>
      </c>
      <c r="F743" t="s">
        <v>1788</v>
      </c>
      <c r="G743" t="str">
        <f>"00508800"</f>
        <v>00508800</v>
      </c>
      <c r="H743">
        <v>28.8</v>
      </c>
      <c r="I743">
        <v>10</v>
      </c>
      <c r="M743">
        <v>4</v>
      </c>
      <c r="N743">
        <v>0</v>
      </c>
      <c r="O743">
        <v>0</v>
      </c>
      <c r="P743">
        <v>42.8</v>
      </c>
      <c r="Q743">
        <v>36</v>
      </c>
      <c r="R743">
        <v>36</v>
      </c>
      <c r="S743">
        <v>3</v>
      </c>
      <c r="T743">
        <v>0</v>
      </c>
      <c r="U743" s="1">
        <v>0</v>
      </c>
      <c r="V743">
        <v>81.8</v>
      </c>
    </row>
    <row r="744" spans="1:22" ht="15">
      <c r="A744" s="4">
        <v>737</v>
      </c>
      <c r="B744">
        <v>389</v>
      </c>
      <c r="C744" t="s">
        <v>1789</v>
      </c>
      <c r="D744" t="s">
        <v>480</v>
      </c>
      <c r="E744" t="s">
        <v>90</v>
      </c>
      <c r="F744" t="s">
        <v>1790</v>
      </c>
      <c r="G744" t="str">
        <f>"00418120"</f>
        <v>00418120</v>
      </c>
      <c r="H744">
        <v>64.8</v>
      </c>
      <c r="I744">
        <v>0</v>
      </c>
      <c r="L744">
        <v>4</v>
      </c>
      <c r="M744">
        <v>4</v>
      </c>
      <c r="N744">
        <v>4</v>
      </c>
      <c r="O744">
        <v>0</v>
      </c>
      <c r="P744">
        <v>72.8</v>
      </c>
      <c r="Q744">
        <v>0</v>
      </c>
      <c r="R744">
        <v>0</v>
      </c>
      <c r="S744">
        <v>9</v>
      </c>
      <c r="T744">
        <v>0</v>
      </c>
      <c r="U744" s="1">
        <v>0</v>
      </c>
      <c r="V744">
        <v>81.8</v>
      </c>
    </row>
    <row r="745" spans="1:22" ht="15">
      <c r="A745" s="4">
        <v>738</v>
      </c>
      <c r="B745">
        <v>2985</v>
      </c>
      <c r="C745" t="s">
        <v>1791</v>
      </c>
      <c r="D745" t="s">
        <v>89</v>
      </c>
      <c r="E745" t="s">
        <v>90</v>
      </c>
      <c r="F745" t="s">
        <v>1792</v>
      </c>
      <c r="G745" t="str">
        <f>"00127246"</f>
        <v>00127246</v>
      </c>
      <c r="H745">
        <v>50.4</v>
      </c>
      <c r="I745">
        <v>0</v>
      </c>
      <c r="L745">
        <v>4</v>
      </c>
      <c r="M745">
        <v>4</v>
      </c>
      <c r="N745">
        <v>4</v>
      </c>
      <c r="O745">
        <v>2</v>
      </c>
      <c r="P745">
        <v>60.4</v>
      </c>
      <c r="Q745">
        <v>18</v>
      </c>
      <c r="R745">
        <v>18</v>
      </c>
      <c r="S745">
        <v>3</v>
      </c>
      <c r="T745">
        <v>0</v>
      </c>
      <c r="U745" s="1">
        <v>0</v>
      </c>
      <c r="V745">
        <v>81.4</v>
      </c>
    </row>
    <row r="746" spans="1:22" ht="15">
      <c r="A746" s="4">
        <v>739</v>
      </c>
      <c r="B746">
        <v>18</v>
      </c>
      <c r="C746" t="s">
        <v>1793</v>
      </c>
      <c r="D746" t="s">
        <v>582</v>
      </c>
      <c r="E746" t="s">
        <v>19</v>
      </c>
      <c r="F746" t="s">
        <v>1794</v>
      </c>
      <c r="G746" t="str">
        <f>"00520148"</f>
        <v>00520148</v>
      </c>
      <c r="H746">
        <v>43.2</v>
      </c>
      <c r="I746">
        <v>10</v>
      </c>
      <c r="M746">
        <v>0</v>
      </c>
      <c r="N746">
        <v>0</v>
      </c>
      <c r="O746">
        <v>0</v>
      </c>
      <c r="P746">
        <v>53.2</v>
      </c>
      <c r="Q746">
        <v>22</v>
      </c>
      <c r="R746">
        <v>22</v>
      </c>
      <c r="S746">
        <v>6</v>
      </c>
      <c r="T746">
        <v>0</v>
      </c>
      <c r="U746" s="1">
        <v>0</v>
      </c>
      <c r="V746">
        <v>81.2</v>
      </c>
    </row>
    <row r="747" spans="1:22" ht="15">
      <c r="A747" s="4">
        <v>740</v>
      </c>
      <c r="B747">
        <v>781</v>
      </c>
      <c r="C747" t="s">
        <v>1795</v>
      </c>
      <c r="D747" t="s">
        <v>1796</v>
      </c>
      <c r="E747" t="s">
        <v>90</v>
      </c>
      <c r="F747" t="s">
        <v>1797</v>
      </c>
      <c r="G747" t="str">
        <f>"00441484"</f>
        <v>00441484</v>
      </c>
      <c r="H747">
        <v>43.2</v>
      </c>
      <c r="I747">
        <v>0</v>
      </c>
      <c r="L747">
        <v>4</v>
      </c>
      <c r="M747">
        <v>4</v>
      </c>
      <c r="N747">
        <v>4</v>
      </c>
      <c r="O747">
        <v>0</v>
      </c>
      <c r="P747">
        <v>51.2</v>
      </c>
      <c r="Q747">
        <v>24</v>
      </c>
      <c r="R747">
        <v>24</v>
      </c>
      <c r="S747">
        <v>6</v>
      </c>
      <c r="T747">
        <v>0</v>
      </c>
      <c r="U747" s="1">
        <v>0</v>
      </c>
      <c r="V747">
        <v>81.2</v>
      </c>
    </row>
    <row r="748" spans="1:22" ht="15">
      <c r="A748" s="4">
        <v>741</v>
      </c>
      <c r="B748">
        <v>3422</v>
      </c>
      <c r="C748" t="s">
        <v>96</v>
      </c>
      <c r="D748" t="s">
        <v>1492</v>
      </c>
      <c r="E748" t="s">
        <v>644</v>
      </c>
      <c r="F748" t="s">
        <v>1798</v>
      </c>
      <c r="G748" t="str">
        <f>"00515110"</f>
        <v>00515110</v>
      </c>
      <c r="H748">
        <v>36</v>
      </c>
      <c r="I748">
        <v>10</v>
      </c>
      <c r="M748">
        <v>4</v>
      </c>
      <c r="N748">
        <v>0</v>
      </c>
      <c r="O748">
        <v>0</v>
      </c>
      <c r="P748">
        <v>50</v>
      </c>
      <c r="Q748">
        <v>31</v>
      </c>
      <c r="R748">
        <v>31</v>
      </c>
      <c r="S748">
        <v>0</v>
      </c>
      <c r="T748">
        <v>0</v>
      </c>
      <c r="U748" s="1">
        <v>0</v>
      </c>
      <c r="V748">
        <v>81</v>
      </c>
    </row>
    <row r="749" spans="1:22" ht="15">
      <c r="A749" s="4">
        <v>742</v>
      </c>
      <c r="B749">
        <v>968</v>
      </c>
      <c r="C749" t="s">
        <v>1799</v>
      </c>
      <c r="D749" t="s">
        <v>1021</v>
      </c>
      <c r="E749" t="s">
        <v>11</v>
      </c>
      <c r="F749" t="s">
        <v>1800</v>
      </c>
      <c r="G749" t="str">
        <f>"00441493"</f>
        <v>00441493</v>
      </c>
      <c r="H749">
        <v>36</v>
      </c>
      <c r="I749">
        <v>0</v>
      </c>
      <c r="K749">
        <v>6</v>
      </c>
      <c r="M749">
        <v>4</v>
      </c>
      <c r="N749">
        <v>6</v>
      </c>
      <c r="O749">
        <v>2</v>
      </c>
      <c r="P749">
        <v>48</v>
      </c>
      <c r="Q749">
        <v>33</v>
      </c>
      <c r="R749">
        <v>33</v>
      </c>
      <c r="S749">
        <v>0</v>
      </c>
      <c r="T749">
        <v>0</v>
      </c>
      <c r="U749" s="1">
        <v>0</v>
      </c>
      <c r="V749">
        <v>81</v>
      </c>
    </row>
    <row r="750" spans="1:22" ht="15">
      <c r="A750" s="4">
        <v>743</v>
      </c>
      <c r="B750">
        <v>1987</v>
      </c>
      <c r="C750" t="s">
        <v>1801</v>
      </c>
      <c r="D750" t="s">
        <v>179</v>
      </c>
      <c r="E750" t="s">
        <v>197</v>
      </c>
      <c r="F750" t="s">
        <v>1802</v>
      </c>
      <c r="G750" t="str">
        <f>"00158899"</f>
        <v>00158899</v>
      </c>
      <c r="H750">
        <v>28.8</v>
      </c>
      <c r="I750">
        <v>10</v>
      </c>
      <c r="L750">
        <v>4</v>
      </c>
      <c r="M750">
        <v>4</v>
      </c>
      <c r="N750">
        <v>4</v>
      </c>
      <c r="O750">
        <v>0</v>
      </c>
      <c r="P750">
        <v>46.8</v>
      </c>
      <c r="Q750">
        <v>34</v>
      </c>
      <c r="R750">
        <v>34</v>
      </c>
      <c r="S750">
        <v>0</v>
      </c>
      <c r="T750">
        <v>0</v>
      </c>
      <c r="U750" s="1">
        <v>0</v>
      </c>
      <c r="V750">
        <v>80.8</v>
      </c>
    </row>
    <row r="751" spans="1:22" ht="15">
      <c r="A751" s="4">
        <v>744</v>
      </c>
      <c r="B751">
        <v>2019</v>
      </c>
      <c r="C751" t="s">
        <v>1803</v>
      </c>
      <c r="D751" t="s">
        <v>26</v>
      </c>
      <c r="E751" t="s">
        <v>30</v>
      </c>
      <c r="F751" t="s">
        <v>1804</v>
      </c>
      <c r="G751" t="str">
        <f>"00209804"</f>
        <v>00209804</v>
      </c>
      <c r="H751">
        <v>64.8</v>
      </c>
      <c r="I751">
        <v>0</v>
      </c>
      <c r="L751">
        <v>4</v>
      </c>
      <c r="M751">
        <v>4</v>
      </c>
      <c r="N751">
        <v>4</v>
      </c>
      <c r="O751">
        <v>0</v>
      </c>
      <c r="P751">
        <v>72.8</v>
      </c>
      <c r="Q751">
        <v>8</v>
      </c>
      <c r="R751">
        <v>8</v>
      </c>
      <c r="S751">
        <v>0</v>
      </c>
      <c r="T751">
        <v>0</v>
      </c>
      <c r="U751" s="1">
        <v>0</v>
      </c>
      <c r="V751">
        <v>80.8</v>
      </c>
    </row>
    <row r="752" spans="1:22" ht="15">
      <c r="A752" s="4">
        <v>745</v>
      </c>
      <c r="B752">
        <v>2112</v>
      </c>
      <c r="C752" t="s">
        <v>1805</v>
      </c>
      <c r="D752" t="s">
        <v>102</v>
      </c>
      <c r="E752" t="s">
        <v>99</v>
      </c>
      <c r="F752" t="s">
        <v>1806</v>
      </c>
      <c r="G752" t="str">
        <f>"00527860"</f>
        <v>00527860</v>
      </c>
      <c r="H752">
        <v>64.8</v>
      </c>
      <c r="I752">
        <v>0</v>
      </c>
      <c r="K752">
        <v>6</v>
      </c>
      <c r="L752">
        <v>4</v>
      </c>
      <c r="M752">
        <v>4</v>
      </c>
      <c r="N752">
        <v>10</v>
      </c>
      <c r="O752">
        <v>2</v>
      </c>
      <c r="P752">
        <v>80.8</v>
      </c>
      <c r="Q752">
        <v>0</v>
      </c>
      <c r="R752">
        <v>0</v>
      </c>
      <c r="S752">
        <v>0</v>
      </c>
      <c r="T752">
        <v>0</v>
      </c>
      <c r="U752" s="1">
        <v>0</v>
      </c>
      <c r="V752">
        <v>80.8</v>
      </c>
    </row>
    <row r="753" spans="1:22" ht="15">
      <c r="A753" s="4">
        <v>746</v>
      </c>
      <c r="B753">
        <v>1603</v>
      </c>
      <c r="C753" t="s">
        <v>1807</v>
      </c>
      <c r="D753" t="s">
        <v>40</v>
      </c>
      <c r="E753" t="s">
        <v>1007</v>
      </c>
      <c r="F753" t="s">
        <v>1808</v>
      </c>
      <c r="G753" t="str">
        <f>"00502865"</f>
        <v>00502865</v>
      </c>
      <c r="H753">
        <v>28.8</v>
      </c>
      <c r="I753">
        <v>10</v>
      </c>
      <c r="L753">
        <v>4</v>
      </c>
      <c r="M753">
        <v>4</v>
      </c>
      <c r="N753">
        <v>4</v>
      </c>
      <c r="O753">
        <v>0</v>
      </c>
      <c r="P753">
        <v>46.8</v>
      </c>
      <c r="Q753">
        <v>31</v>
      </c>
      <c r="R753">
        <v>31</v>
      </c>
      <c r="S753">
        <v>3</v>
      </c>
      <c r="T753">
        <v>0</v>
      </c>
      <c r="U753" s="1">
        <v>0</v>
      </c>
      <c r="V753">
        <v>80.8</v>
      </c>
    </row>
    <row r="754" spans="1:22" ht="15">
      <c r="A754" s="4">
        <v>747</v>
      </c>
      <c r="B754">
        <v>3044</v>
      </c>
      <c r="C754" t="s">
        <v>1809</v>
      </c>
      <c r="D754" t="s">
        <v>1400</v>
      </c>
      <c r="E754" t="s">
        <v>19</v>
      </c>
      <c r="F754" t="s">
        <v>1810</v>
      </c>
      <c r="G754" t="str">
        <f>"00518991"</f>
        <v>00518991</v>
      </c>
      <c r="H754">
        <v>28.8</v>
      </c>
      <c r="I754">
        <v>0</v>
      </c>
      <c r="M754">
        <v>4</v>
      </c>
      <c r="N754">
        <v>0</v>
      </c>
      <c r="O754">
        <v>0</v>
      </c>
      <c r="P754">
        <v>32.8</v>
      </c>
      <c r="Q754">
        <v>48</v>
      </c>
      <c r="R754">
        <v>48</v>
      </c>
      <c r="S754">
        <v>0</v>
      </c>
      <c r="T754">
        <v>0</v>
      </c>
      <c r="U754" s="1">
        <v>0</v>
      </c>
      <c r="V754">
        <v>80.8</v>
      </c>
    </row>
    <row r="755" spans="1:22" ht="15">
      <c r="A755" s="4">
        <v>748</v>
      </c>
      <c r="B755">
        <v>2537</v>
      </c>
      <c r="C755" t="s">
        <v>1811</v>
      </c>
      <c r="D755" t="s">
        <v>121</v>
      </c>
      <c r="E755" t="s">
        <v>1497</v>
      </c>
      <c r="F755" t="s">
        <v>1812</v>
      </c>
      <c r="G755" t="str">
        <f>"00531362"</f>
        <v>00531362</v>
      </c>
      <c r="H755">
        <v>57.6</v>
      </c>
      <c r="I755">
        <v>0</v>
      </c>
      <c r="J755">
        <v>8</v>
      </c>
      <c r="M755">
        <v>4</v>
      </c>
      <c r="N755">
        <v>8</v>
      </c>
      <c r="O755">
        <v>0</v>
      </c>
      <c r="P755">
        <v>69.6</v>
      </c>
      <c r="Q755">
        <v>8</v>
      </c>
      <c r="R755">
        <v>8</v>
      </c>
      <c r="S755">
        <v>3</v>
      </c>
      <c r="T755">
        <v>0</v>
      </c>
      <c r="U755" s="1">
        <v>0</v>
      </c>
      <c r="V755">
        <v>80.6</v>
      </c>
    </row>
    <row r="756" spans="1:22" ht="15">
      <c r="A756" s="4">
        <v>749</v>
      </c>
      <c r="B756">
        <v>791</v>
      </c>
      <c r="C756" t="s">
        <v>1715</v>
      </c>
      <c r="D756" t="s">
        <v>14</v>
      </c>
      <c r="E756" t="s">
        <v>30</v>
      </c>
      <c r="F756" t="s">
        <v>1813</v>
      </c>
      <c r="G756" t="str">
        <f>"00505343"</f>
        <v>00505343</v>
      </c>
      <c r="H756">
        <v>57.6</v>
      </c>
      <c r="I756">
        <v>0</v>
      </c>
      <c r="L756">
        <v>8</v>
      </c>
      <c r="M756">
        <v>4</v>
      </c>
      <c r="N756">
        <v>8</v>
      </c>
      <c r="O756">
        <v>0</v>
      </c>
      <c r="P756">
        <v>69.6</v>
      </c>
      <c r="Q756">
        <v>8</v>
      </c>
      <c r="R756">
        <v>8</v>
      </c>
      <c r="S756">
        <v>3</v>
      </c>
      <c r="T756">
        <v>0</v>
      </c>
      <c r="U756" s="1">
        <v>0</v>
      </c>
      <c r="V756">
        <v>80.6</v>
      </c>
    </row>
    <row r="757" spans="1:22" ht="15">
      <c r="A757" s="4">
        <v>750</v>
      </c>
      <c r="B757">
        <v>634</v>
      </c>
      <c r="C757" t="s">
        <v>1814</v>
      </c>
      <c r="D757" t="s">
        <v>697</v>
      </c>
      <c r="E757" t="s">
        <v>344</v>
      </c>
      <c r="F757" t="s">
        <v>1815</v>
      </c>
      <c r="G757" t="str">
        <f>"00527227"</f>
        <v>00527227</v>
      </c>
      <c r="H757">
        <v>34.56</v>
      </c>
      <c r="I757">
        <v>0</v>
      </c>
      <c r="L757">
        <v>4</v>
      </c>
      <c r="M757">
        <v>4</v>
      </c>
      <c r="N757">
        <v>4</v>
      </c>
      <c r="O757">
        <v>0</v>
      </c>
      <c r="P757">
        <v>42.56</v>
      </c>
      <c r="Q757">
        <v>32</v>
      </c>
      <c r="R757">
        <v>32</v>
      </c>
      <c r="S757">
        <v>6</v>
      </c>
      <c r="T757">
        <v>0</v>
      </c>
      <c r="U757" s="1">
        <v>0</v>
      </c>
      <c r="V757">
        <v>80.56</v>
      </c>
    </row>
    <row r="758" spans="1:22" ht="15">
      <c r="A758" s="4">
        <v>751</v>
      </c>
      <c r="B758">
        <v>36</v>
      </c>
      <c r="C758" t="s">
        <v>1816</v>
      </c>
      <c r="D758" t="s">
        <v>511</v>
      </c>
      <c r="E758" t="s">
        <v>51</v>
      </c>
      <c r="F758" t="s">
        <v>1817</v>
      </c>
      <c r="G758" t="str">
        <f>"00153180"</f>
        <v>00153180</v>
      </c>
      <c r="H758">
        <v>36.44</v>
      </c>
      <c r="I758">
        <v>0</v>
      </c>
      <c r="J758">
        <v>8</v>
      </c>
      <c r="M758">
        <v>4</v>
      </c>
      <c r="N758">
        <v>8</v>
      </c>
      <c r="O758">
        <v>0</v>
      </c>
      <c r="P758">
        <v>48.44</v>
      </c>
      <c r="Q758">
        <v>26</v>
      </c>
      <c r="R758">
        <v>26</v>
      </c>
      <c r="S758">
        <v>6</v>
      </c>
      <c r="T758">
        <v>0</v>
      </c>
      <c r="U758" s="1">
        <v>0</v>
      </c>
      <c r="V758">
        <v>80.44</v>
      </c>
    </row>
    <row r="759" spans="1:22" ht="15">
      <c r="A759" s="4">
        <v>752</v>
      </c>
      <c r="B759">
        <v>2669</v>
      </c>
      <c r="C759" t="s">
        <v>1818</v>
      </c>
      <c r="D759" t="s">
        <v>176</v>
      </c>
      <c r="E759" t="s">
        <v>73</v>
      </c>
      <c r="F759" t="s">
        <v>1819</v>
      </c>
      <c r="G759" t="str">
        <f>"00480875"</f>
        <v>00480875</v>
      </c>
      <c r="H759">
        <v>14.4</v>
      </c>
      <c r="I759">
        <v>0</v>
      </c>
      <c r="L759">
        <v>4</v>
      </c>
      <c r="M759">
        <v>4</v>
      </c>
      <c r="N759">
        <v>4</v>
      </c>
      <c r="O759">
        <v>0</v>
      </c>
      <c r="P759">
        <v>22.4</v>
      </c>
      <c r="Q759">
        <v>52</v>
      </c>
      <c r="R759">
        <v>52</v>
      </c>
      <c r="S759">
        <v>6</v>
      </c>
      <c r="T759">
        <v>0</v>
      </c>
      <c r="U759" s="1">
        <v>0</v>
      </c>
      <c r="V759">
        <v>80.4</v>
      </c>
    </row>
    <row r="760" spans="1:22" ht="15">
      <c r="A760" s="4">
        <v>753</v>
      </c>
      <c r="B760">
        <v>2770</v>
      </c>
      <c r="C760" t="s">
        <v>1820</v>
      </c>
      <c r="D760" t="s">
        <v>89</v>
      </c>
      <c r="E760" t="s">
        <v>90</v>
      </c>
      <c r="F760" t="s">
        <v>1821</v>
      </c>
      <c r="G760" t="str">
        <f>"00509943"</f>
        <v>00509943</v>
      </c>
      <c r="H760">
        <v>50.4</v>
      </c>
      <c r="I760">
        <v>0</v>
      </c>
      <c r="J760">
        <v>8</v>
      </c>
      <c r="M760">
        <v>4</v>
      </c>
      <c r="N760">
        <v>8</v>
      </c>
      <c r="O760">
        <v>0</v>
      </c>
      <c r="P760">
        <v>62.4</v>
      </c>
      <c r="Q760">
        <v>18</v>
      </c>
      <c r="R760">
        <v>18</v>
      </c>
      <c r="S760">
        <v>0</v>
      </c>
      <c r="T760">
        <v>0</v>
      </c>
      <c r="U760" s="1">
        <v>0</v>
      </c>
      <c r="V760">
        <v>80.4</v>
      </c>
    </row>
    <row r="761" spans="1:22" ht="15">
      <c r="A761" s="4">
        <v>754</v>
      </c>
      <c r="B761">
        <v>794</v>
      </c>
      <c r="C761" t="s">
        <v>1822</v>
      </c>
      <c r="D761" t="s">
        <v>102</v>
      </c>
      <c r="E761" t="s">
        <v>167</v>
      </c>
      <c r="F761" t="s">
        <v>1823</v>
      </c>
      <c r="G761" t="str">
        <f>"00504864"</f>
        <v>00504864</v>
      </c>
      <c r="H761">
        <v>50.4</v>
      </c>
      <c r="I761">
        <v>0</v>
      </c>
      <c r="M761">
        <v>4</v>
      </c>
      <c r="N761">
        <v>0</v>
      </c>
      <c r="O761">
        <v>0</v>
      </c>
      <c r="P761">
        <v>54.4</v>
      </c>
      <c r="Q761">
        <v>26</v>
      </c>
      <c r="R761">
        <v>26</v>
      </c>
      <c r="S761">
        <v>0</v>
      </c>
      <c r="T761">
        <v>0</v>
      </c>
      <c r="U761" s="1">
        <v>0</v>
      </c>
      <c r="V761">
        <v>80.4</v>
      </c>
    </row>
    <row r="762" spans="1:22" ht="15">
      <c r="A762" s="4">
        <v>755</v>
      </c>
      <c r="B762">
        <v>1965</v>
      </c>
      <c r="C762" t="s">
        <v>1824</v>
      </c>
      <c r="D762" t="s">
        <v>15</v>
      </c>
      <c r="E762" t="s">
        <v>90</v>
      </c>
      <c r="F762" t="s">
        <v>1825</v>
      </c>
      <c r="G762" t="str">
        <f>"00162236"</f>
        <v>00162236</v>
      </c>
      <c r="H762">
        <v>50.4</v>
      </c>
      <c r="I762">
        <v>0</v>
      </c>
      <c r="M762">
        <v>4</v>
      </c>
      <c r="N762">
        <v>0</v>
      </c>
      <c r="O762">
        <v>0</v>
      </c>
      <c r="P762">
        <v>54.4</v>
      </c>
      <c r="Q762">
        <v>26</v>
      </c>
      <c r="R762">
        <v>26</v>
      </c>
      <c r="S762">
        <v>0</v>
      </c>
      <c r="T762">
        <v>0</v>
      </c>
      <c r="U762" s="1">
        <v>0</v>
      </c>
      <c r="V762">
        <v>80.4</v>
      </c>
    </row>
    <row r="763" spans="1:22" ht="15">
      <c r="A763" s="4">
        <v>756</v>
      </c>
      <c r="B763">
        <v>3331</v>
      </c>
      <c r="C763" t="s">
        <v>1826</v>
      </c>
      <c r="D763" t="s">
        <v>211</v>
      </c>
      <c r="E763" t="s">
        <v>11</v>
      </c>
      <c r="F763" t="s">
        <v>1827</v>
      </c>
      <c r="G763" t="str">
        <f>"00503736"</f>
        <v>00503736</v>
      </c>
      <c r="H763">
        <v>38.4</v>
      </c>
      <c r="I763">
        <v>10</v>
      </c>
      <c r="L763">
        <v>4</v>
      </c>
      <c r="M763">
        <v>4</v>
      </c>
      <c r="N763">
        <v>4</v>
      </c>
      <c r="O763">
        <v>0</v>
      </c>
      <c r="P763">
        <v>56.4</v>
      </c>
      <c r="Q763">
        <v>21</v>
      </c>
      <c r="R763">
        <v>21</v>
      </c>
      <c r="S763">
        <v>3</v>
      </c>
      <c r="T763">
        <v>0</v>
      </c>
      <c r="U763" s="1">
        <v>0</v>
      </c>
      <c r="V763">
        <v>80.4</v>
      </c>
    </row>
    <row r="764" spans="1:22" ht="15">
      <c r="A764" s="4">
        <v>757</v>
      </c>
      <c r="B764">
        <v>184</v>
      </c>
      <c r="C764" t="s">
        <v>1828</v>
      </c>
      <c r="D764" t="s">
        <v>889</v>
      </c>
      <c r="E764" t="s">
        <v>99</v>
      </c>
      <c r="F764" t="s">
        <v>1829</v>
      </c>
      <c r="G764" t="str">
        <f>"00025792"</f>
        <v>00025792</v>
      </c>
      <c r="H764">
        <v>25.32</v>
      </c>
      <c r="I764">
        <v>0</v>
      </c>
      <c r="L764">
        <v>4</v>
      </c>
      <c r="M764">
        <v>4</v>
      </c>
      <c r="N764">
        <v>4</v>
      </c>
      <c r="O764">
        <v>0</v>
      </c>
      <c r="P764">
        <v>33.32</v>
      </c>
      <c r="Q764">
        <v>47</v>
      </c>
      <c r="R764">
        <v>47</v>
      </c>
      <c r="S764">
        <v>0</v>
      </c>
      <c r="T764">
        <v>0</v>
      </c>
      <c r="U764" s="1">
        <v>0</v>
      </c>
      <c r="V764">
        <v>80.32</v>
      </c>
    </row>
    <row r="765" spans="1:22" ht="15">
      <c r="A765" s="4">
        <v>758</v>
      </c>
      <c r="B765">
        <v>608</v>
      </c>
      <c r="C765" t="s">
        <v>1830</v>
      </c>
      <c r="D765" t="s">
        <v>511</v>
      </c>
      <c r="E765" t="s">
        <v>11</v>
      </c>
      <c r="F765" t="s">
        <v>1831</v>
      </c>
      <c r="G765" t="str">
        <f>"00505102"</f>
        <v>00505102</v>
      </c>
      <c r="H765">
        <v>7.2</v>
      </c>
      <c r="I765">
        <v>0</v>
      </c>
      <c r="M765">
        <v>4</v>
      </c>
      <c r="N765">
        <v>0</v>
      </c>
      <c r="O765">
        <v>0</v>
      </c>
      <c r="P765">
        <v>11.2</v>
      </c>
      <c r="Q765">
        <v>69</v>
      </c>
      <c r="R765">
        <v>69</v>
      </c>
      <c r="S765">
        <v>0</v>
      </c>
      <c r="T765">
        <v>0</v>
      </c>
      <c r="U765" s="1">
        <v>0</v>
      </c>
      <c r="V765">
        <v>80.2</v>
      </c>
    </row>
    <row r="766" spans="1:22" ht="15">
      <c r="A766" s="4">
        <v>759</v>
      </c>
      <c r="B766">
        <v>84</v>
      </c>
      <c r="C766" t="s">
        <v>1832</v>
      </c>
      <c r="D766" t="s">
        <v>1833</v>
      </c>
      <c r="E766" t="s">
        <v>51</v>
      </c>
      <c r="F766" t="s">
        <v>1834</v>
      </c>
      <c r="G766" t="str">
        <f>"00283367"</f>
        <v>00283367</v>
      </c>
      <c r="H766">
        <v>43.2</v>
      </c>
      <c r="I766">
        <v>0</v>
      </c>
      <c r="M766">
        <v>4</v>
      </c>
      <c r="N766">
        <v>0</v>
      </c>
      <c r="O766">
        <v>0</v>
      </c>
      <c r="P766">
        <v>47.2</v>
      </c>
      <c r="Q766">
        <v>33</v>
      </c>
      <c r="R766">
        <v>33</v>
      </c>
      <c r="S766">
        <v>0</v>
      </c>
      <c r="T766">
        <v>0</v>
      </c>
      <c r="U766" s="1">
        <v>0</v>
      </c>
      <c r="V766">
        <v>80.2</v>
      </c>
    </row>
    <row r="767" spans="1:22" ht="15">
      <c r="A767" s="4">
        <v>760</v>
      </c>
      <c r="B767">
        <v>1372</v>
      </c>
      <c r="C767" t="s">
        <v>1835</v>
      </c>
      <c r="D767" t="s">
        <v>1836</v>
      </c>
      <c r="E767" t="s">
        <v>190</v>
      </c>
      <c r="F767" t="s">
        <v>1837</v>
      </c>
      <c r="G767" t="str">
        <f>"00210536"</f>
        <v>00210536</v>
      </c>
      <c r="H767">
        <v>43.2</v>
      </c>
      <c r="I767">
        <v>0</v>
      </c>
      <c r="M767">
        <v>4</v>
      </c>
      <c r="N767">
        <v>0</v>
      </c>
      <c r="O767">
        <v>0</v>
      </c>
      <c r="P767">
        <v>47.2</v>
      </c>
      <c r="Q767">
        <v>33</v>
      </c>
      <c r="R767">
        <v>33</v>
      </c>
      <c r="S767">
        <v>0</v>
      </c>
      <c r="T767">
        <v>0</v>
      </c>
      <c r="U767" s="1">
        <v>0</v>
      </c>
      <c r="V767">
        <v>80.2</v>
      </c>
    </row>
    <row r="768" spans="1:22" ht="15">
      <c r="A768" s="4">
        <v>761</v>
      </c>
      <c r="B768">
        <v>2115</v>
      </c>
      <c r="C768" t="s">
        <v>1215</v>
      </c>
      <c r="D768" t="s">
        <v>1838</v>
      </c>
      <c r="E768" t="s">
        <v>197</v>
      </c>
      <c r="F768" t="s">
        <v>1839</v>
      </c>
      <c r="G768" t="str">
        <f>"00309803"</f>
        <v>00309803</v>
      </c>
      <c r="H768">
        <v>50.4</v>
      </c>
      <c r="I768">
        <v>0</v>
      </c>
      <c r="M768">
        <v>0</v>
      </c>
      <c r="N768">
        <v>0</v>
      </c>
      <c r="O768">
        <v>0</v>
      </c>
      <c r="P768">
        <v>50.4</v>
      </c>
      <c r="Q768">
        <v>0</v>
      </c>
      <c r="R768">
        <v>0</v>
      </c>
      <c r="S768">
        <v>3</v>
      </c>
      <c r="T768">
        <v>26.8</v>
      </c>
      <c r="U768" s="1">
        <v>0</v>
      </c>
      <c r="V768">
        <v>80.2</v>
      </c>
    </row>
    <row r="769" spans="1:22" ht="15">
      <c r="A769" s="4">
        <v>762</v>
      </c>
      <c r="B769">
        <v>683</v>
      </c>
      <c r="C769" t="s">
        <v>1840</v>
      </c>
      <c r="D769" t="s">
        <v>1841</v>
      </c>
      <c r="E769" t="s">
        <v>738</v>
      </c>
      <c r="F769" t="s">
        <v>1842</v>
      </c>
      <c r="G769" t="str">
        <f>"00489518"</f>
        <v>00489518</v>
      </c>
      <c r="H769">
        <v>36</v>
      </c>
      <c r="I769">
        <v>0</v>
      </c>
      <c r="M769">
        <v>4</v>
      </c>
      <c r="N769">
        <v>0</v>
      </c>
      <c r="O769">
        <v>0</v>
      </c>
      <c r="P769">
        <v>40</v>
      </c>
      <c r="Q769">
        <v>40</v>
      </c>
      <c r="R769">
        <v>40</v>
      </c>
      <c r="S769">
        <v>0</v>
      </c>
      <c r="T769">
        <v>0</v>
      </c>
      <c r="U769" s="1">
        <v>0</v>
      </c>
      <c r="V769">
        <v>80</v>
      </c>
    </row>
    <row r="770" spans="1:22" ht="15">
      <c r="A770" s="4">
        <v>763</v>
      </c>
      <c r="B770">
        <v>595</v>
      </c>
      <c r="C770" t="s">
        <v>1843</v>
      </c>
      <c r="D770" t="s">
        <v>121</v>
      </c>
      <c r="E770" t="s">
        <v>134</v>
      </c>
      <c r="F770" t="s">
        <v>1844</v>
      </c>
      <c r="G770" t="str">
        <f>"00530707"</f>
        <v>00530707</v>
      </c>
      <c r="H770">
        <v>43.2</v>
      </c>
      <c r="I770">
        <v>0</v>
      </c>
      <c r="L770">
        <v>4</v>
      </c>
      <c r="M770">
        <v>0</v>
      </c>
      <c r="N770">
        <v>4</v>
      </c>
      <c r="O770">
        <v>0</v>
      </c>
      <c r="P770">
        <v>47.2</v>
      </c>
      <c r="Q770">
        <v>0</v>
      </c>
      <c r="R770">
        <v>0</v>
      </c>
      <c r="S770">
        <v>6</v>
      </c>
      <c r="T770">
        <v>26.8</v>
      </c>
      <c r="U770" s="1">
        <v>0</v>
      </c>
      <c r="V770">
        <v>80</v>
      </c>
    </row>
    <row r="771" spans="1:22" ht="15">
      <c r="A771" s="4">
        <v>764</v>
      </c>
      <c r="B771">
        <v>2482</v>
      </c>
      <c r="C771" t="s">
        <v>1845</v>
      </c>
      <c r="D771" t="s">
        <v>439</v>
      </c>
      <c r="E771" t="s">
        <v>90</v>
      </c>
      <c r="F771" t="s">
        <v>1846</v>
      </c>
      <c r="G771" t="str">
        <f>"00531849"</f>
        <v>00531849</v>
      </c>
      <c r="H771">
        <v>40</v>
      </c>
      <c r="I771">
        <v>10</v>
      </c>
      <c r="M771">
        <v>4</v>
      </c>
      <c r="N771">
        <v>0</v>
      </c>
      <c r="O771">
        <v>0</v>
      </c>
      <c r="P771">
        <v>54</v>
      </c>
      <c r="Q771">
        <v>0</v>
      </c>
      <c r="R771">
        <v>0</v>
      </c>
      <c r="S771">
        <v>6</v>
      </c>
      <c r="T771">
        <v>20</v>
      </c>
      <c r="U771" s="1">
        <v>0</v>
      </c>
      <c r="V771">
        <v>80</v>
      </c>
    </row>
    <row r="772" spans="1:22" ht="15">
      <c r="A772" s="4">
        <v>765</v>
      </c>
      <c r="B772">
        <v>3174</v>
      </c>
      <c r="C772" t="s">
        <v>1847</v>
      </c>
      <c r="D772" t="s">
        <v>40</v>
      </c>
      <c r="E772" t="s">
        <v>712</v>
      </c>
      <c r="F772" t="s">
        <v>1848</v>
      </c>
      <c r="G772" t="str">
        <f>"00507406"</f>
        <v>00507406</v>
      </c>
      <c r="H772">
        <v>72</v>
      </c>
      <c r="I772">
        <v>0</v>
      </c>
      <c r="L772">
        <v>4</v>
      </c>
      <c r="M772">
        <v>4</v>
      </c>
      <c r="N772">
        <v>4</v>
      </c>
      <c r="O772">
        <v>0</v>
      </c>
      <c r="P772">
        <v>80</v>
      </c>
      <c r="Q772">
        <v>0</v>
      </c>
      <c r="R772">
        <v>0</v>
      </c>
      <c r="S772">
        <v>0</v>
      </c>
      <c r="T772">
        <v>0</v>
      </c>
      <c r="U772" s="1">
        <v>0</v>
      </c>
      <c r="V772">
        <v>80</v>
      </c>
    </row>
    <row r="773" spans="1:22" ht="15">
      <c r="A773" s="4">
        <v>766</v>
      </c>
      <c r="B773">
        <v>815</v>
      </c>
      <c r="C773" t="s">
        <v>96</v>
      </c>
      <c r="D773" t="s">
        <v>1849</v>
      </c>
      <c r="E773" t="s">
        <v>19</v>
      </c>
      <c r="F773" t="s">
        <v>1850</v>
      </c>
      <c r="G773" t="str">
        <f>"201604001807"</f>
        <v>201604001807</v>
      </c>
      <c r="H773">
        <v>72</v>
      </c>
      <c r="I773">
        <v>0</v>
      </c>
      <c r="L773">
        <v>4</v>
      </c>
      <c r="M773">
        <v>4</v>
      </c>
      <c r="N773">
        <v>4</v>
      </c>
      <c r="O773">
        <v>0</v>
      </c>
      <c r="P773">
        <v>80</v>
      </c>
      <c r="Q773">
        <v>0</v>
      </c>
      <c r="R773">
        <v>0</v>
      </c>
      <c r="S773">
        <v>0</v>
      </c>
      <c r="T773">
        <v>0</v>
      </c>
      <c r="U773" s="1">
        <v>0</v>
      </c>
      <c r="V773">
        <v>80</v>
      </c>
    </row>
    <row r="774" spans="1:22" ht="15">
      <c r="A774" s="4">
        <v>767</v>
      </c>
      <c r="B774">
        <v>1853</v>
      </c>
      <c r="C774" t="s">
        <v>1851</v>
      </c>
      <c r="D774" t="s">
        <v>222</v>
      </c>
      <c r="E774" t="s">
        <v>11</v>
      </c>
      <c r="F774" t="s">
        <v>1852</v>
      </c>
      <c r="G774" t="str">
        <f>"00023938"</f>
        <v>00023938</v>
      </c>
      <c r="H774">
        <v>72</v>
      </c>
      <c r="I774">
        <v>0</v>
      </c>
      <c r="L774">
        <v>4</v>
      </c>
      <c r="M774">
        <v>4</v>
      </c>
      <c r="N774">
        <v>4</v>
      </c>
      <c r="O774">
        <v>0</v>
      </c>
      <c r="P774">
        <v>80</v>
      </c>
      <c r="Q774">
        <v>0</v>
      </c>
      <c r="R774">
        <v>0</v>
      </c>
      <c r="S774">
        <v>0</v>
      </c>
      <c r="T774">
        <v>0</v>
      </c>
      <c r="U774" s="1">
        <v>0</v>
      </c>
      <c r="V774">
        <v>80</v>
      </c>
    </row>
    <row r="775" spans="1:22" ht="15">
      <c r="A775" s="4">
        <v>768</v>
      </c>
      <c r="B775">
        <v>2164</v>
      </c>
      <c r="C775" t="s">
        <v>1853</v>
      </c>
      <c r="D775" t="s">
        <v>89</v>
      </c>
      <c r="E775" t="s">
        <v>15</v>
      </c>
      <c r="F775" t="s">
        <v>1854</v>
      </c>
      <c r="G775" t="str">
        <f>"00337352"</f>
        <v>00337352</v>
      </c>
      <c r="H775">
        <v>30.84</v>
      </c>
      <c r="I775">
        <v>10</v>
      </c>
      <c r="L775">
        <v>4</v>
      </c>
      <c r="M775">
        <v>4</v>
      </c>
      <c r="N775">
        <v>4</v>
      </c>
      <c r="O775">
        <v>0</v>
      </c>
      <c r="P775">
        <v>48.84</v>
      </c>
      <c r="Q775">
        <v>31</v>
      </c>
      <c r="R775">
        <v>31</v>
      </c>
      <c r="S775">
        <v>0</v>
      </c>
      <c r="T775">
        <v>0</v>
      </c>
      <c r="U775" s="1">
        <v>0</v>
      </c>
      <c r="V775">
        <v>79.84</v>
      </c>
    </row>
    <row r="776" spans="1:22" ht="15">
      <c r="A776" s="4">
        <v>769</v>
      </c>
      <c r="B776">
        <v>1253</v>
      </c>
      <c r="C776" t="s">
        <v>1855</v>
      </c>
      <c r="D776" t="s">
        <v>1514</v>
      </c>
      <c r="E776" t="s">
        <v>1180</v>
      </c>
      <c r="F776" t="s">
        <v>1856</v>
      </c>
      <c r="G776" t="str">
        <f>"00492789"</f>
        <v>00492789</v>
      </c>
      <c r="H776">
        <v>28.8</v>
      </c>
      <c r="I776">
        <v>0</v>
      </c>
      <c r="L776">
        <v>4</v>
      </c>
      <c r="M776">
        <v>4</v>
      </c>
      <c r="N776">
        <v>4</v>
      </c>
      <c r="O776">
        <v>2</v>
      </c>
      <c r="P776">
        <v>38.8</v>
      </c>
      <c r="Q776">
        <v>41</v>
      </c>
      <c r="R776">
        <v>41</v>
      </c>
      <c r="S776">
        <v>0</v>
      </c>
      <c r="T776">
        <v>0</v>
      </c>
      <c r="U776" s="1">
        <v>0</v>
      </c>
      <c r="V776">
        <v>79.8</v>
      </c>
    </row>
    <row r="777" spans="1:22" ht="15">
      <c r="A777" s="4">
        <v>770</v>
      </c>
      <c r="B777">
        <v>2247</v>
      </c>
      <c r="C777" t="s">
        <v>1610</v>
      </c>
      <c r="D777" t="s">
        <v>50</v>
      </c>
      <c r="E777" t="s">
        <v>55</v>
      </c>
      <c r="F777" t="s">
        <v>1857</v>
      </c>
      <c r="G777" t="str">
        <f>"00153587"</f>
        <v>00153587</v>
      </c>
      <c r="H777">
        <v>28.8</v>
      </c>
      <c r="I777">
        <v>0</v>
      </c>
      <c r="L777">
        <v>4</v>
      </c>
      <c r="M777">
        <v>4</v>
      </c>
      <c r="N777">
        <v>4</v>
      </c>
      <c r="O777">
        <v>0</v>
      </c>
      <c r="P777">
        <v>36.8</v>
      </c>
      <c r="Q777">
        <v>43</v>
      </c>
      <c r="R777">
        <v>43</v>
      </c>
      <c r="S777">
        <v>0</v>
      </c>
      <c r="T777">
        <v>0</v>
      </c>
      <c r="U777" s="1">
        <v>0</v>
      </c>
      <c r="V777">
        <v>79.8</v>
      </c>
    </row>
    <row r="778" spans="1:22" ht="15">
      <c r="A778" s="4">
        <v>771</v>
      </c>
      <c r="B778">
        <v>2157</v>
      </c>
      <c r="C778" t="s">
        <v>1720</v>
      </c>
      <c r="D778" t="s">
        <v>89</v>
      </c>
      <c r="E778" t="s">
        <v>11</v>
      </c>
      <c r="F778" t="s">
        <v>1858</v>
      </c>
      <c r="G778" t="str">
        <f>"201406012859"</f>
        <v>201406012859</v>
      </c>
      <c r="H778">
        <v>64.8</v>
      </c>
      <c r="I778">
        <v>0</v>
      </c>
      <c r="M778">
        <v>4</v>
      </c>
      <c r="N778">
        <v>0</v>
      </c>
      <c r="O778">
        <v>0</v>
      </c>
      <c r="P778">
        <v>68.8</v>
      </c>
      <c r="Q778">
        <v>8</v>
      </c>
      <c r="R778">
        <v>8</v>
      </c>
      <c r="S778">
        <v>3</v>
      </c>
      <c r="T778">
        <v>0</v>
      </c>
      <c r="U778" s="1">
        <v>0</v>
      </c>
      <c r="V778">
        <v>79.8</v>
      </c>
    </row>
    <row r="779" spans="1:22" ht="15">
      <c r="A779" s="4">
        <v>772</v>
      </c>
      <c r="B779">
        <v>1734</v>
      </c>
      <c r="C779" t="s">
        <v>1859</v>
      </c>
      <c r="D779" t="s">
        <v>211</v>
      </c>
      <c r="E779" t="s">
        <v>317</v>
      </c>
      <c r="F779" t="s">
        <v>1860</v>
      </c>
      <c r="G779" t="str">
        <f>"00499057"</f>
        <v>00499057</v>
      </c>
      <c r="H779">
        <v>37.76</v>
      </c>
      <c r="I779">
        <v>0</v>
      </c>
      <c r="M779">
        <v>4</v>
      </c>
      <c r="N779">
        <v>0</v>
      </c>
      <c r="O779">
        <v>0</v>
      </c>
      <c r="P779">
        <v>41.76</v>
      </c>
      <c r="Q779">
        <v>32</v>
      </c>
      <c r="R779">
        <v>32</v>
      </c>
      <c r="S779">
        <v>6</v>
      </c>
      <c r="T779">
        <v>0</v>
      </c>
      <c r="U779" s="1">
        <v>0</v>
      </c>
      <c r="V779">
        <v>79.76</v>
      </c>
    </row>
    <row r="780" spans="1:22" ht="15">
      <c r="A780" s="4">
        <v>773</v>
      </c>
      <c r="B780">
        <v>2673</v>
      </c>
      <c r="C780" t="s">
        <v>1861</v>
      </c>
      <c r="D780" t="s">
        <v>124</v>
      </c>
      <c r="E780" t="s">
        <v>916</v>
      </c>
      <c r="F780" t="s">
        <v>1862</v>
      </c>
      <c r="G780" t="str">
        <f>"00497298"</f>
        <v>00497298</v>
      </c>
      <c r="H780">
        <v>34.68</v>
      </c>
      <c r="I780">
        <v>0</v>
      </c>
      <c r="L780">
        <v>4</v>
      </c>
      <c r="M780">
        <v>4</v>
      </c>
      <c r="N780">
        <v>4</v>
      </c>
      <c r="O780">
        <v>0</v>
      </c>
      <c r="P780">
        <v>42.68</v>
      </c>
      <c r="Q780">
        <v>31</v>
      </c>
      <c r="R780">
        <v>31</v>
      </c>
      <c r="S780">
        <v>6</v>
      </c>
      <c r="T780">
        <v>0</v>
      </c>
      <c r="U780" s="1">
        <v>0</v>
      </c>
      <c r="V780">
        <v>79.68</v>
      </c>
    </row>
    <row r="781" spans="1:22" ht="15">
      <c r="A781" s="4">
        <v>774</v>
      </c>
      <c r="B781">
        <v>1255</v>
      </c>
      <c r="C781" t="s">
        <v>1863</v>
      </c>
      <c r="D781" t="s">
        <v>378</v>
      </c>
      <c r="E781" t="s">
        <v>99</v>
      </c>
      <c r="F781" t="s">
        <v>1864</v>
      </c>
      <c r="G781" t="str">
        <f>"201412005303"</f>
        <v>201412005303</v>
      </c>
      <c r="H781">
        <v>57.6</v>
      </c>
      <c r="I781">
        <v>0</v>
      </c>
      <c r="J781">
        <v>16</v>
      </c>
      <c r="M781">
        <v>4</v>
      </c>
      <c r="N781">
        <v>16</v>
      </c>
      <c r="O781">
        <v>2</v>
      </c>
      <c r="P781">
        <v>79.6</v>
      </c>
      <c r="Q781">
        <v>0</v>
      </c>
      <c r="R781">
        <v>0</v>
      </c>
      <c r="S781">
        <v>0</v>
      </c>
      <c r="T781">
        <v>0</v>
      </c>
      <c r="U781" s="1">
        <v>0</v>
      </c>
      <c r="V781">
        <v>79.6</v>
      </c>
    </row>
    <row r="782" spans="1:22" ht="15">
      <c r="A782" s="4">
        <v>775</v>
      </c>
      <c r="B782">
        <v>651</v>
      </c>
      <c r="C782" t="s">
        <v>1865</v>
      </c>
      <c r="D782" t="s">
        <v>22</v>
      </c>
      <c r="E782" t="s">
        <v>23</v>
      </c>
      <c r="F782" t="s">
        <v>1866</v>
      </c>
      <c r="G782" t="str">
        <f>"00441764"</f>
        <v>00441764</v>
      </c>
      <c r="H782">
        <v>57.6</v>
      </c>
      <c r="I782">
        <v>0</v>
      </c>
      <c r="M782">
        <v>4</v>
      </c>
      <c r="N782">
        <v>0</v>
      </c>
      <c r="O782">
        <v>0</v>
      </c>
      <c r="P782">
        <v>61.6</v>
      </c>
      <c r="Q782">
        <v>18</v>
      </c>
      <c r="R782">
        <v>18</v>
      </c>
      <c r="S782">
        <v>0</v>
      </c>
      <c r="T782">
        <v>0</v>
      </c>
      <c r="U782" s="1">
        <v>0</v>
      </c>
      <c r="V782">
        <v>79.6</v>
      </c>
    </row>
    <row r="783" spans="1:22" ht="15">
      <c r="A783" s="4">
        <v>776</v>
      </c>
      <c r="B783">
        <v>2665</v>
      </c>
      <c r="C783" t="s">
        <v>1867</v>
      </c>
      <c r="D783" t="s">
        <v>1868</v>
      </c>
      <c r="E783" t="s">
        <v>1869</v>
      </c>
      <c r="F783" t="s">
        <v>1870</v>
      </c>
      <c r="G783" t="str">
        <f>"00441819"</f>
        <v>00441819</v>
      </c>
      <c r="H783">
        <v>21.6</v>
      </c>
      <c r="I783">
        <v>10</v>
      </c>
      <c r="M783">
        <v>4</v>
      </c>
      <c r="N783">
        <v>0</v>
      </c>
      <c r="O783">
        <v>0</v>
      </c>
      <c r="P783">
        <v>35.6</v>
      </c>
      <c r="Q783">
        <v>41</v>
      </c>
      <c r="R783">
        <v>41</v>
      </c>
      <c r="S783">
        <v>3</v>
      </c>
      <c r="T783">
        <v>0</v>
      </c>
      <c r="U783" s="1">
        <v>0</v>
      </c>
      <c r="V783">
        <v>79.6</v>
      </c>
    </row>
    <row r="784" spans="1:22" ht="15">
      <c r="A784" s="4">
        <v>777</v>
      </c>
      <c r="B784">
        <v>765</v>
      </c>
      <c r="C784" t="s">
        <v>1871</v>
      </c>
      <c r="D784" t="s">
        <v>723</v>
      </c>
      <c r="E784" t="s">
        <v>90</v>
      </c>
      <c r="F784" t="s">
        <v>1872</v>
      </c>
      <c r="G784" t="str">
        <f>"201511030758"</f>
        <v>201511030758</v>
      </c>
      <c r="H784">
        <v>57.6</v>
      </c>
      <c r="I784">
        <v>0</v>
      </c>
      <c r="K784">
        <v>6</v>
      </c>
      <c r="M784">
        <v>4</v>
      </c>
      <c r="N784">
        <v>6</v>
      </c>
      <c r="O784">
        <v>0</v>
      </c>
      <c r="P784">
        <v>67.6</v>
      </c>
      <c r="Q784">
        <v>0</v>
      </c>
      <c r="R784">
        <v>0</v>
      </c>
      <c r="S784">
        <v>12</v>
      </c>
      <c r="T784">
        <v>0</v>
      </c>
      <c r="U784" s="1">
        <v>0</v>
      </c>
      <c r="V784">
        <v>79.6</v>
      </c>
    </row>
    <row r="785" spans="1:22" ht="15">
      <c r="A785" s="4">
        <v>778</v>
      </c>
      <c r="B785">
        <v>1448</v>
      </c>
      <c r="C785" t="s">
        <v>1873</v>
      </c>
      <c r="D785" t="s">
        <v>14</v>
      </c>
      <c r="E785" t="s">
        <v>94</v>
      </c>
      <c r="F785" t="s">
        <v>1874</v>
      </c>
      <c r="G785" t="str">
        <f>"00498321"</f>
        <v>00498321</v>
      </c>
      <c r="H785">
        <v>21.6</v>
      </c>
      <c r="I785">
        <v>10</v>
      </c>
      <c r="J785">
        <v>8</v>
      </c>
      <c r="M785">
        <v>4</v>
      </c>
      <c r="N785">
        <v>8</v>
      </c>
      <c r="O785">
        <v>0</v>
      </c>
      <c r="P785">
        <v>43.6</v>
      </c>
      <c r="Q785">
        <v>36</v>
      </c>
      <c r="R785">
        <v>36</v>
      </c>
      <c r="S785">
        <v>0</v>
      </c>
      <c r="T785">
        <v>0</v>
      </c>
      <c r="U785" s="1">
        <v>0</v>
      </c>
      <c r="V785">
        <v>79.6</v>
      </c>
    </row>
    <row r="786" spans="1:22" ht="15">
      <c r="A786" s="4">
        <v>779</v>
      </c>
      <c r="B786">
        <v>1385</v>
      </c>
      <c r="C786" t="s">
        <v>1875</v>
      </c>
      <c r="D786" t="s">
        <v>1876</v>
      </c>
      <c r="E786" t="s">
        <v>19</v>
      </c>
      <c r="F786" t="s">
        <v>1877</v>
      </c>
      <c r="G786" t="str">
        <f>"00530490"</f>
        <v>00530490</v>
      </c>
      <c r="H786">
        <v>37.6</v>
      </c>
      <c r="I786">
        <v>0</v>
      </c>
      <c r="K786">
        <v>12</v>
      </c>
      <c r="M786">
        <v>4</v>
      </c>
      <c r="N786">
        <v>12</v>
      </c>
      <c r="O786">
        <v>0</v>
      </c>
      <c r="P786">
        <v>53.6</v>
      </c>
      <c r="Q786">
        <v>26</v>
      </c>
      <c r="R786">
        <v>26</v>
      </c>
      <c r="S786">
        <v>0</v>
      </c>
      <c r="T786">
        <v>0</v>
      </c>
      <c r="U786" s="1">
        <v>0</v>
      </c>
      <c r="V786">
        <v>79.6</v>
      </c>
    </row>
    <row r="787" spans="1:22" ht="15">
      <c r="A787" s="4">
        <v>780</v>
      </c>
      <c r="B787">
        <v>2857</v>
      </c>
      <c r="C787" t="s">
        <v>1878</v>
      </c>
      <c r="D787" t="s">
        <v>76</v>
      </c>
      <c r="E787" t="s">
        <v>201</v>
      </c>
      <c r="F787" t="s">
        <v>1879</v>
      </c>
      <c r="G787" t="str">
        <f>"00533141"</f>
        <v>00533141</v>
      </c>
      <c r="H787">
        <v>50.4</v>
      </c>
      <c r="I787">
        <v>0</v>
      </c>
      <c r="M787">
        <v>4</v>
      </c>
      <c r="N787">
        <v>0</v>
      </c>
      <c r="O787">
        <v>0</v>
      </c>
      <c r="P787">
        <v>54.4</v>
      </c>
      <c r="Q787">
        <v>25</v>
      </c>
      <c r="R787">
        <v>25</v>
      </c>
      <c r="S787">
        <v>0</v>
      </c>
      <c r="T787">
        <v>0</v>
      </c>
      <c r="U787" s="1">
        <v>0</v>
      </c>
      <c r="V787">
        <v>79.4</v>
      </c>
    </row>
    <row r="788" spans="1:22" ht="15">
      <c r="A788" s="4">
        <v>781</v>
      </c>
      <c r="B788">
        <v>722</v>
      </c>
      <c r="C788" t="s">
        <v>1880</v>
      </c>
      <c r="D788" t="s">
        <v>1881</v>
      </c>
      <c r="E788" t="s">
        <v>672</v>
      </c>
      <c r="F788" t="s">
        <v>1882</v>
      </c>
      <c r="G788" t="str">
        <f>"00531602"</f>
        <v>00531602</v>
      </c>
      <c r="H788">
        <v>50.4</v>
      </c>
      <c r="I788">
        <v>0</v>
      </c>
      <c r="M788">
        <v>4</v>
      </c>
      <c r="N788">
        <v>0</v>
      </c>
      <c r="O788">
        <v>0</v>
      </c>
      <c r="P788">
        <v>54.4</v>
      </c>
      <c r="Q788">
        <v>25</v>
      </c>
      <c r="R788">
        <v>25</v>
      </c>
      <c r="S788">
        <v>0</v>
      </c>
      <c r="T788">
        <v>0</v>
      </c>
      <c r="U788" s="1">
        <v>0</v>
      </c>
      <c r="V788">
        <v>79.4</v>
      </c>
    </row>
    <row r="789" spans="1:22" ht="15">
      <c r="A789" s="4">
        <v>782</v>
      </c>
      <c r="B789">
        <v>625</v>
      </c>
      <c r="C789" t="s">
        <v>1883</v>
      </c>
      <c r="D789" t="s">
        <v>892</v>
      </c>
      <c r="E789" t="s">
        <v>15</v>
      </c>
      <c r="F789" t="s">
        <v>1884</v>
      </c>
      <c r="G789" t="str">
        <f>"00471722"</f>
        <v>00471722</v>
      </c>
      <c r="H789">
        <v>50.4</v>
      </c>
      <c r="I789">
        <v>10</v>
      </c>
      <c r="J789">
        <v>8</v>
      </c>
      <c r="M789">
        <v>4</v>
      </c>
      <c r="N789">
        <v>8</v>
      </c>
      <c r="O789">
        <v>0</v>
      </c>
      <c r="P789">
        <v>72.4</v>
      </c>
      <c r="Q789">
        <v>4</v>
      </c>
      <c r="R789">
        <v>4</v>
      </c>
      <c r="S789">
        <v>3</v>
      </c>
      <c r="T789">
        <v>0</v>
      </c>
      <c r="U789" s="1">
        <v>0</v>
      </c>
      <c r="V789">
        <v>79.4</v>
      </c>
    </row>
    <row r="790" spans="1:22" ht="15">
      <c r="A790" s="4">
        <v>783</v>
      </c>
      <c r="B790">
        <v>3197</v>
      </c>
      <c r="C790" t="s">
        <v>1885</v>
      </c>
      <c r="D790" t="s">
        <v>11</v>
      </c>
      <c r="E790" t="s">
        <v>30</v>
      </c>
      <c r="F790" t="s">
        <v>1886</v>
      </c>
      <c r="G790" t="str">
        <f>"00532147"</f>
        <v>00532147</v>
      </c>
      <c r="H790">
        <v>29.32</v>
      </c>
      <c r="I790">
        <v>0</v>
      </c>
      <c r="J790">
        <v>8</v>
      </c>
      <c r="M790">
        <v>4</v>
      </c>
      <c r="N790">
        <v>8</v>
      </c>
      <c r="O790">
        <v>2</v>
      </c>
      <c r="P790">
        <v>43.32</v>
      </c>
      <c r="Q790">
        <v>36</v>
      </c>
      <c r="R790">
        <v>36</v>
      </c>
      <c r="S790">
        <v>0</v>
      </c>
      <c r="T790">
        <v>0</v>
      </c>
      <c r="U790" s="1">
        <v>0</v>
      </c>
      <c r="V790">
        <v>79.32</v>
      </c>
    </row>
    <row r="791" spans="1:22" ht="15">
      <c r="A791" s="4">
        <v>784</v>
      </c>
      <c r="B791">
        <v>2490</v>
      </c>
      <c r="C791" t="s">
        <v>1887</v>
      </c>
      <c r="D791" t="s">
        <v>193</v>
      </c>
      <c r="E791" t="s">
        <v>575</v>
      </c>
      <c r="F791" t="s">
        <v>1888</v>
      </c>
      <c r="G791" t="str">
        <f>"00517653"</f>
        <v>00517653</v>
      </c>
      <c r="H791">
        <v>43.2</v>
      </c>
      <c r="I791">
        <v>0</v>
      </c>
      <c r="M791">
        <v>4</v>
      </c>
      <c r="N791">
        <v>0</v>
      </c>
      <c r="O791">
        <v>0</v>
      </c>
      <c r="P791">
        <v>47.2</v>
      </c>
      <c r="Q791">
        <v>26</v>
      </c>
      <c r="R791">
        <v>26</v>
      </c>
      <c r="S791">
        <v>6</v>
      </c>
      <c r="T791">
        <v>0</v>
      </c>
      <c r="U791" s="1">
        <v>0</v>
      </c>
      <c r="V791">
        <v>79.2</v>
      </c>
    </row>
    <row r="792" spans="1:22" ht="15">
      <c r="A792" s="4">
        <v>785</v>
      </c>
      <c r="B792">
        <v>2370</v>
      </c>
      <c r="C792" t="s">
        <v>1889</v>
      </c>
      <c r="D792" t="s">
        <v>127</v>
      </c>
      <c r="E792" t="s">
        <v>225</v>
      </c>
      <c r="F792" t="s">
        <v>1890</v>
      </c>
      <c r="G792" t="str">
        <f>"00523992"</f>
        <v>00523992</v>
      </c>
      <c r="H792">
        <v>7.2</v>
      </c>
      <c r="I792">
        <v>10</v>
      </c>
      <c r="M792">
        <v>0</v>
      </c>
      <c r="N792">
        <v>0</v>
      </c>
      <c r="O792">
        <v>0</v>
      </c>
      <c r="P792">
        <v>17.2</v>
      </c>
      <c r="Q792">
        <v>56</v>
      </c>
      <c r="R792">
        <v>56</v>
      </c>
      <c r="S792">
        <v>6</v>
      </c>
      <c r="T792">
        <v>0</v>
      </c>
      <c r="U792" s="1">
        <v>0</v>
      </c>
      <c r="V792">
        <v>79.2</v>
      </c>
    </row>
    <row r="793" spans="1:22" ht="15">
      <c r="A793" s="4">
        <v>786</v>
      </c>
      <c r="B793">
        <v>194</v>
      </c>
      <c r="C793" t="s">
        <v>1891</v>
      </c>
      <c r="D793" t="s">
        <v>214</v>
      </c>
      <c r="E793" t="s">
        <v>90</v>
      </c>
      <c r="F793" t="s">
        <v>1892</v>
      </c>
      <c r="G793" t="str">
        <f>"00511638"</f>
        <v>00511638</v>
      </c>
      <c r="H793">
        <v>43.2</v>
      </c>
      <c r="I793">
        <v>0</v>
      </c>
      <c r="M793">
        <v>4</v>
      </c>
      <c r="N793">
        <v>0</v>
      </c>
      <c r="O793">
        <v>0</v>
      </c>
      <c r="P793">
        <v>47.2</v>
      </c>
      <c r="Q793">
        <v>32</v>
      </c>
      <c r="R793">
        <v>32</v>
      </c>
      <c r="S793">
        <v>0</v>
      </c>
      <c r="T793">
        <v>0</v>
      </c>
      <c r="U793" s="1">
        <v>0</v>
      </c>
      <c r="V793">
        <v>79.2</v>
      </c>
    </row>
    <row r="794" spans="1:22" ht="15">
      <c r="A794" s="4">
        <v>787</v>
      </c>
      <c r="B794">
        <v>1048</v>
      </c>
      <c r="C794" t="s">
        <v>1893</v>
      </c>
      <c r="D794" t="s">
        <v>1894</v>
      </c>
      <c r="E794" t="s">
        <v>30</v>
      </c>
      <c r="F794" t="s">
        <v>1895</v>
      </c>
      <c r="G794" t="str">
        <f>"00504661"</f>
        <v>00504661</v>
      </c>
      <c r="H794">
        <v>30.2</v>
      </c>
      <c r="I794">
        <v>10</v>
      </c>
      <c r="M794">
        <v>4</v>
      </c>
      <c r="N794">
        <v>0</v>
      </c>
      <c r="O794">
        <v>0</v>
      </c>
      <c r="P794">
        <v>44.2</v>
      </c>
      <c r="Q794">
        <v>35</v>
      </c>
      <c r="R794">
        <v>35</v>
      </c>
      <c r="S794">
        <v>0</v>
      </c>
      <c r="T794">
        <v>0</v>
      </c>
      <c r="U794" s="1">
        <v>0</v>
      </c>
      <c r="V794">
        <v>79.2</v>
      </c>
    </row>
    <row r="795" spans="1:22" ht="15">
      <c r="A795" s="4">
        <v>788</v>
      </c>
      <c r="B795">
        <v>920</v>
      </c>
      <c r="C795" t="s">
        <v>1896</v>
      </c>
      <c r="D795" t="s">
        <v>89</v>
      </c>
      <c r="E795" t="s">
        <v>83</v>
      </c>
      <c r="F795" t="s">
        <v>1897</v>
      </c>
      <c r="G795" t="str">
        <f>"00157479"</f>
        <v>00157479</v>
      </c>
      <c r="H795">
        <v>43.2</v>
      </c>
      <c r="I795">
        <v>0</v>
      </c>
      <c r="L795">
        <v>4</v>
      </c>
      <c r="M795">
        <v>4</v>
      </c>
      <c r="N795">
        <v>4</v>
      </c>
      <c r="O795">
        <v>0</v>
      </c>
      <c r="P795">
        <v>51.2</v>
      </c>
      <c r="Q795">
        <v>25</v>
      </c>
      <c r="R795">
        <v>25</v>
      </c>
      <c r="S795">
        <v>3</v>
      </c>
      <c r="T795">
        <v>0</v>
      </c>
      <c r="U795" s="1">
        <v>0</v>
      </c>
      <c r="V795">
        <v>79.2</v>
      </c>
    </row>
    <row r="796" spans="1:22" ht="15">
      <c r="A796" s="4">
        <v>789</v>
      </c>
      <c r="B796">
        <v>1003</v>
      </c>
      <c r="C796" t="s">
        <v>1898</v>
      </c>
      <c r="D796" t="s">
        <v>40</v>
      </c>
      <c r="E796" t="s">
        <v>11</v>
      </c>
      <c r="F796" t="s">
        <v>1899</v>
      </c>
      <c r="G796" t="str">
        <f>"201604001875"</f>
        <v>201604001875</v>
      </c>
      <c r="H796">
        <v>69.12</v>
      </c>
      <c r="I796">
        <v>0</v>
      </c>
      <c r="M796">
        <v>4</v>
      </c>
      <c r="N796">
        <v>0</v>
      </c>
      <c r="O796">
        <v>0</v>
      </c>
      <c r="P796">
        <v>73.12</v>
      </c>
      <c r="Q796">
        <v>0</v>
      </c>
      <c r="R796">
        <v>0</v>
      </c>
      <c r="S796">
        <v>6</v>
      </c>
      <c r="T796">
        <v>0</v>
      </c>
      <c r="U796" s="1">
        <v>0</v>
      </c>
      <c r="V796">
        <v>79.12</v>
      </c>
    </row>
    <row r="797" spans="1:22" ht="15">
      <c r="A797" s="4">
        <v>790</v>
      </c>
      <c r="B797">
        <v>2377</v>
      </c>
      <c r="C797" t="s">
        <v>1900</v>
      </c>
      <c r="D797" t="s">
        <v>179</v>
      </c>
      <c r="E797" t="s">
        <v>83</v>
      </c>
      <c r="F797" t="s">
        <v>1901</v>
      </c>
      <c r="G797" t="str">
        <f>"00508591"</f>
        <v>00508591</v>
      </c>
      <c r="H797">
        <v>36</v>
      </c>
      <c r="I797">
        <v>0</v>
      </c>
      <c r="M797">
        <v>4</v>
      </c>
      <c r="N797">
        <v>0</v>
      </c>
      <c r="O797">
        <v>0</v>
      </c>
      <c r="P797">
        <v>40</v>
      </c>
      <c r="Q797">
        <v>39</v>
      </c>
      <c r="R797">
        <v>39</v>
      </c>
      <c r="S797">
        <v>0</v>
      </c>
      <c r="T797">
        <v>0</v>
      </c>
      <c r="U797" s="1">
        <v>0</v>
      </c>
      <c r="V797">
        <v>79</v>
      </c>
    </row>
    <row r="798" spans="1:22" ht="15">
      <c r="A798" s="4">
        <v>791</v>
      </c>
      <c r="B798">
        <v>2058</v>
      </c>
      <c r="C798" t="s">
        <v>1902</v>
      </c>
      <c r="D798" t="s">
        <v>76</v>
      </c>
      <c r="E798" t="s">
        <v>15</v>
      </c>
      <c r="F798" t="s">
        <v>1903</v>
      </c>
      <c r="G798" t="str">
        <f>"00507203"</f>
        <v>00507203</v>
      </c>
      <c r="H798">
        <v>36</v>
      </c>
      <c r="I798">
        <v>0</v>
      </c>
      <c r="L798">
        <v>4</v>
      </c>
      <c r="M798">
        <v>4</v>
      </c>
      <c r="N798">
        <v>4</v>
      </c>
      <c r="O798">
        <v>2</v>
      </c>
      <c r="P798">
        <v>46</v>
      </c>
      <c r="Q798">
        <v>33</v>
      </c>
      <c r="R798">
        <v>33</v>
      </c>
      <c r="S798">
        <v>0</v>
      </c>
      <c r="T798">
        <v>0</v>
      </c>
      <c r="U798" s="1">
        <v>0</v>
      </c>
      <c r="V798">
        <v>79</v>
      </c>
    </row>
    <row r="799" spans="1:22" ht="15">
      <c r="A799" s="4">
        <v>792</v>
      </c>
      <c r="B799">
        <v>3290</v>
      </c>
      <c r="C799" t="s">
        <v>1904</v>
      </c>
      <c r="D799" t="s">
        <v>511</v>
      </c>
      <c r="E799" t="s">
        <v>83</v>
      </c>
      <c r="F799" t="s">
        <v>1905</v>
      </c>
      <c r="G799" t="str">
        <f>"00529712"</f>
        <v>00529712</v>
      </c>
      <c r="H799">
        <v>36.88</v>
      </c>
      <c r="I799">
        <v>0</v>
      </c>
      <c r="M799">
        <v>4</v>
      </c>
      <c r="N799">
        <v>0</v>
      </c>
      <c r="O799">
        <v>0</v>
      </c>
      <c r="P799">
        <v>40.88</v>
      </c>
      <c r="Q799">
        <v>32</v>
      </c>
      <c r="R799">
        <v>32</v>
      </c>
      <c r="S799">
        <v>6</v>
      </c>
      <c r="T799">
        <v>0</v>
      </c>
      <c r="U799" s="1">
        <v>0</v>
      </c>
      <c r="V799">
        <v>78.88</v>
      </c>
    </row>
    <row r="800" spans="1:22" ht="15">
      <c r="A800" s="4">
        <v>793</v>
      </c>
      <c r="B800">
        <v>156</v>
      </c>
      <c r="C800" t="s">
        <v>1906</v>
      </c>
      <c r="D800" t="s">
        <v>29</v>
      </c>
      <c r="E800" t="s">
        <v>197</v>
      </c>
      <c r="F800" t="s">
        <v>1907</v>
      </c>
      <c r="G800" t="str">
        <f>"00007746"</f>
        <v>00007746</v>
      </c>
      <c r="H800">
        <v>64.8</v>
      </c>
      <c r="I800">
        <v>0</v>
      </c>
      <c r="K800">
        <v>6</v>
      </c>
      <c r="L800">
        <v>4</v>
      </c>
      <c r="M800">
        <v>4</v>
      </c>
      <c r="N800">
        <v>10</v>
      </c>
      <c r="O800">
        <v>0</v>
      </c>
      <c r="P800">
        <v>78.8</v>
      </c>
      <c r="Q800">
        <v>0</v>
      </c>
      <c r="R800">
        <v>0</v>
      </c>
      <c r="S800">
        <v>0</v>
      </c>
      <c r="T800">
        <v>0</v>
      </c>
      <c r="U800" s="1">
        <v>0</v>
      </c>
      <c r="V800">
        <v>78.8</v>
      </c>
    </row>
    <row r="801" spans="1:22" ht="15">
      <c r="A801" s="4">
        <v>794</v>
      </c>
      <c r="B801">
        <v>1113</v>
      </c>
      <c r="C801" t="s">
        <v>1908</v>
      </c>
      <c r="D801" t="s">
        <v>72</v>
      </c>
      <c r="E801" t="s">
        <v>23</v>
      </c>
      <c r="F801" t="s">
        <v>1909</v>
      </c>
      <c r="G801" t="str">
        <f>"00525884"</f>
        <v>00525884</v>
      </c>
      <c r="H801">
        <v>28.8</v>
      </c>
      <c r="I801">
        <v>0</v>
      </c>
      <c r="M801">
        <v>0</v>
      </c>
      <c r="N801">
        <v>0</v>
      </c>
      <c r="O801">
        <v>0</v>
      </c>
      <c r="P801">
        <v>28.8</v>
      </c>
      <c r="Q801">
        <v>50</v>
      </c>
      <c r="R801">
        <v>50</v>
      </c>
      <c r="S801">
        <v>0</v>
      </c>
      <c r="T801">
        <v>0</v>
      </c>
      <c r="U801" s="1">
        <v>0</v>
      </c>
      <c r="V801">
        <v>78.8</v>
      </c>
    </row>
    <row r="802" spans="1:22" ht="15">
      <c r="A802" s="4">
        <v>795</v>
      </c>
      <c r="B802">
        <v>1937</v>
      </c>
      <c r="C802" t="s">
        <v>1633</v>
      </c>
      <c r="D802" t="s">
        <v>1910</v>
      </c>
      <c r="E802" t="s">
        <v>19</v>
      </c>
      <c r="F802" t="s">
        <v>1911</v>
      </c>
      <c r="G802" t="str">
        <f>"00506124"</f>
        <v>00506124</v>
      </c>
      <c r="H802">
        <v>64.8</v>
      </c>
      <c r="I802">
        <v>0</v>
      </c>
      <c r="J802">
        <v>8</v>
      </c>
      <c r="M802">
        <v>4</v>
      </c>
      <c r="N802">
        <v>8</v>
      </c>
      <c r="O802">
        <v>2</v>
      </c>
      <c r="P802">
        <v>78.8</v>
      </c>
      <c r="Q802">
        <v>0</v>
      </c>
      <c r="R802">
        <v>0</v>
      </c>
      <c r="S802">
        <v>0</v>
      </c>
      <c r="T802">
        <v>0</v>
      </c>
      <c r="U802" s="1">
        <v>0</v>
      </c>
      <c r="V802">
        <v>78.8</v>
      </c>
    </row>
    <row r="803" spans="1:22" ht="15">
      <c r="A803" s="4">
        <v>796</v>
      </c>
      <c r="B803">
        <v>1398</v>
      </c>
      <c r="C803" t="s">
        <v>1912</v>
      </c>
      <c r="D803" t="s">
        <v>493</v>
      </c>
      <c r="E803" t="s">
        <v>190</v>
      </c>
      <c r="F803" t="s">
        <v>1913</v>
      </c>
      <c r="G803" t="str">
        <f>"00147368"</f>
        <v>00147368</v>
      </c>
      <c r="H803">
        <v>64.8</v>
      </c>
      <c r="I803">
        <v>0</v>
      </c>
      <c r="L803">
        <v>4</v>
      </c>
      <c r="M803">
        <v>4</v>
      </c>
      <c r="N803">
        <v>4</v>
      </c>
      <c r="O803">
        <v>0</v>
      </c>
      <c r="P803">
        <v>72.8</v>
      </c>
      <c r="Q803">
        <v>0</v>
      </c>
      <c r="R803">
        <v>0</v>
      </c>
      <c r="S803">
        <v>6</v>
      </c>
      <c r="T803">
        <v>0</v>
      </c>
      <c r="U803" s="1">
        <v>0</v>
      </c>
      <c r="V803">
        <v>78.8</v>
      </c>
    </row>
    <row r="804" spans="1:22" ht="15">
      <c r="A804" s="4">
        <v>797</v>
      </c>
      <c r="B804">
        <v>2393</v>
      </c>
      <c r="C804" t="s">
        <v>1914</v>
      </c>
      <c r="D804" t="s">
        <v>14</v>
      </c>
      <c r="E804" t="s">
        <v>1915</v>
      </c>
      <c r="F804" t="s">
        <v>1916</v>
      </c>
      <c r="G804" t="str">
        <f>"00157821"</f>
        <v>00157821</v>
      </c>
      <c r="H804">
        <v>38.68</v>
      </c>
      <c r="I804">
        <v>10</v>
      </c>
      <c r="M804">
        <v>4</v>
      </c>
      <c r="N804">
        <v>0</v>
      </c>
      <c r="O804">
        <v>0</v>
      </c>
      <c r="P804">
        <v>52.68</v>
      </c>
      <c r="Q804">
        <v>26</v>
      </c>
      <c r="R804">
        <v>26</v>
      </c>
      <c r="S804">
        <v>0</v>
      </c>
      <c r="T804">
        <v>0</v>
      </c>
      <c r="U804" s="1">
        <v>0</v>
      </c>
      <c r="V804">
        <v>78.68</v>
      </c>
    </row>
    <row r="805" spans="1:22" ht="15">
      <c r="A805" s="4">
        <v>798</v>
      </c>
      <c r="B805">
        <v>2880</v>
      </c>
      <c r="C805" t="s">
        <v>1917</v>
      </c>
      <c r="D805" t="s">
        <v>723</v>
      </c>
      <c r="E805" t="s">
        <v>344</v>
      </c>
      <c r="F805" t="s">
        <v>1918</v>
      </c>
      <c r="G805" t="str">
        <f>"00530487"</f>
        <v>00530487</v>
      </c>
      <c r="H805">
        <v>57.6</v>
      </c>
      <c r="I805">
        <v>0</v>
      </c>
      <c r="M805">
        <v>4</v>
      </c>
      <c r="N805">
        <v>0</v>
      </c>
      <c r="O805">
        <v>0</v>
      </c>
      <c r="P805">
        <v>61.6</v>
      </c>
      <c r="Q805">
        <v>17</v>
      </c>
      <c r="R805">
        <v>17</v>
      </c>
      <c r="S805">
        <v>0</v>
      </c>
      <c r="T805">
        <v>0</v>
      </c>
      <c r="U805" s="1">
        <v>0</v>
      </c>
      <c r="V805">
        <v>78.6</v>
      </c>
    </row>
    <row r="806" spans="1:22" ht="15">
      <c r="A806" s="4">
        <v>799</v>
      </c>
      <c r="B806">
        <v>995</v>
      </c>
      <c r="C806" t="s">
        <v>1919</v>
      </c>
      <c r="D806" t="s">
        <v>640</v>
      </c>
      <c r="E806" t="s">
        <v>30</v>
      </c>
      <c r="F806" t="s">
        <v>1920</v>
      </c>
      <c r="G806" t="str">
        <f>"00154848"</f>
        <v>00154848</v>
      </c>
      <c r="H806">
        <v>57.6</v>
      </c>
      <c r="I806">
        <v>0</v>
      </c>
      <c r="L806">
        <v>4</v>
      </c>
      <c r="M806">
        <v>4</v>
      </c>
      <c r="N806">
        <v>4</v>
      </c>
      <c r="O806">
        <v>0</v>
      </c>
      <c r="P806">
        <v>65.6</v>
      </c>
      <c r="Q806">
        <v>7</v>
      </c>
      <c r="R806">
        <v>7</v>
      </c>
      <c r="S806">
        <v>6</v>
      </c>
      <c r="T806">
        <v>0</v>
      </c>
      <c r="U806" s="1">
        <v>0</v>
      </c>
      <c r="V806">
        <v>78.6</v>
      </c>
    </row>
    <row r="807" spans="1:22" ht="15">
      <c r="A807" s="4">
        <v>800</v>
      </c>
      <c r="B807">
        <v>1030</v>
      </c>
      <c r="C807" t="s">
        <v>1921</v>
      </c>
      <c r="D807" t="s">
        <v>1378</v>
      </c>
      <c r="E807" t="s">
        <v>90</v>
      </c>
      <c r="F807" t="s">
        <v>1922</v>
      </c>
      <c r="G807" t="str">
        <f>"00531526"</f>
        <v>00531526</v>
      </c>
      <c r="H807">
        <v>35.56</v>
      </c>
      <c r="I807">
        <v>0</v>
      </c>
      <c r="M807">
        <v>4</v>
      </c>
      <c r="N807">
        <v>0</v>
      </c>
      <c r="O807">
        <v>2</v>
      </c>
      <c r="P807">
        <v>41.56</v>
      </c>
      <c r="Q807">
        <v>31</v>
      </c>
      <c r="R807">
        <v>31</v>
      </c>
      <c r="S807">
        <v>6</v>
      </c>
      <c r="T807">
        <v>0</v>
      </c>
      <c r="U807" s="1">
        <v>0</v>
      </c>
      <c r="V807">
        <v>78.56</v>
      </c>
    </row>
    <row r="808" spans="1:22" ht="15">
      <c r="A808" s="4">
        <v>801</v>
      </c>
      <c r="B808">
        <v>1672</v>
      </c>
      <c r="C808" t="s">
        <v>1923</v>
      </c>
      <c r="D808" t="s">
        <v>333</v>
      </c>
      <c r="E808" t="s">
        <v>644</v>
      </c>
      <c r="F808" t="s">
        <v>1924</v>
      </c>
      <c r="G808" t="str">
        <f>"00162370"</f>
        <v>00162370</v>
      </c>
      <c r="H808">
        <v>50.4</v>
      </c>
      <c r="I808">
        <v>0</v>
      </c>
      <c r="M808">
        <v>4</v>
      </c>
      <c r="N808">
        <v>0</v>
      </c>
      <c r="O808">
        <v>0</v>
      </c>
      <c r="P808">
        <v>54.4</v>
      </c>
      <c r="Q808">
        <v>24</v>
      </c>
      <c r="R808">
        <v>24</v>
      </c>
      <c r="S808">
        <v>0</v>
      </c>
      <c r="T808">
        <v>0</v>
      </c>
      <c r="U808" s="1">
        <v>0</v>
      </c>
      <c r="V808">
        <v>78.4</v>
      </c>
    </row>
    <row r="809" spans="1:22" ht="15">
      <c r="A809" s="4">
        <v>802</v>
      </c>
      <c r="B809">
        <v>2086</v>
      </c>
      <c r="C809" t="s">
        <v>1925</v>
      </c>
      <c r="D809" t="s">
        <v>211</v>
      </c>
      <c r="E809" t="s">
        <v>83</v>
      </c>
      <c r="F809" t="s">
        <v>1926</v>
      </c>
      <c r="G809" t="str">
        <f>"00492473"</f>
        <v>00492473</v>
      </c>
      <c r="H809">
        <v>50.4</v>
      </c>
      <c r="I809">
        <v>10</v>
      </c>
      <c r="L809">
        <v>4</v>
      </c>
      <c r="M809">
        <v>4</v>
      </c>
      <c r="N809">
        <v>4</v>
      </c>
      <c r="O809">
        <v>2</v>
      </c>
      <c r="P809">
        <v>70.4</v>
      </c>
      <c r="Q809">
        <v>8</v>
      </c>
      <c r="R809">
        <v>8</v>
      </c>
      <c r="S809">
        <v>0</v>
      </c>
      <c r="T809">
        <v>0</v>
      </c>
      <c r="U809" s="1">
        <v>0</v>
      </c>
      <c r="V809">
        <v>78.4</v>
      </c>
    </row>
    <row r="810" spans="1:22" ht="15">
      <c r="A810" s="4">
        <v>803</v>
      </c>
      <c r="B810">
        <v>1749</v>
      </c>
      <c r="C810" t="s">
        <v>1927</v>
      </c>
      <c r="D810" t="s">
        <v>179</v>
      </c>
      <c r="E810" t="s">
        <v>23</v>
      </c>
      <c r="F810" t="s">
        <v>1928</v>
      </c>
      <c r="G810" t="str">
        <f>"00500568"</f>
        <v>00500568</v>
      </c>
      <c r="H810">
        <v>50.4</v>
      </c>
      <c r="I810">
        <v>0</v>
      </c>
      <c r="M810">
        <v>4</v>
      </c>
      <c r="N810">
        <v>0</v>
      </c>
      <c r="O810">
        <v>0</v>
      </c>
      <c r="P810">
        <v>54.4</v>
      </c>
      <c r="Q810">
        <v>24</v>
      </c>
      <c r="R810">
        <v>24</v>
      </c>
      <c r="S810">
        <v>0</v>
      </c>
      <c r="T810">
        <v>0</v>
      </c>
      <c r="U810" s="1">
        <v>0</v>
      </c>
      <c r="V810">
        <v>78.4</v>
      </c>
    </row>
    <row r="811" spans="1:22" ht="15">
      <c r="A811" s="4">
        <v>804</v>
      </c>
      <c r="B811">
        <v>2486</v>
      </c>
      <c r="C811" t="s">
        <v>1929</v>
      </c>
      <c r="D811" t="s">
        <v>1930</v>
      </c>
      <c r="E811" t="s">
        <v>877</v>
      </c>
      <c r="F811" t="s">
        <v>1931</v>
      </c>
      <c r="G811" t="str">
        <f>"00514111"</f>
        <v>00514111</v>
      </c>
      <c r="H811">
        <v>50.4</v>
      </c>
      <c r="I811">
        <v>0</v>
      </c>
      <c r="L811">
        <v>4</v>
      </c>
      <c r="M811">
        <v>4</v>
      </c>
      <c r="N811">
        <v>4</v>
      </c>
      <c r="O811">
        <v>2</v>
      </c>
      <c r="P811">
        <v>60.4</v>
      </c>
      <c r="Q811">
        <v>18</v>
      </c>
      <c r="R811">
        <v>18</v>
      </c>
      <c r="S811">
        <v>0</v>
      </c>
      <c r="T811">
        <v>0</v>
      </c>
      <c r="U811" s="1">
        <v>0</v>
      </c>
      <c r="V811">
        <v>78.4</v>
      </c>
    </row>
    <row r="812" spans="1:22" ht="15">
      <c r="A812" s="4">
        <v>805</v>
      </c>
      <c r="B812">
        <v>2151</v>
      </c>
      <c r="C812" t="s">
        <v>1932</v>
      </c>
      <c r="D812" t="s">
        <v>643</v>
      </c>
      <c r="E812" t="s">
        <v>11</v>
      </c>
      <c r="F812" t="s">
        <v>1933</v>
      </c>
      <c r="G812" t="str">
        <f>"00174004"</f>
        <v>00174004</v>
      </c>
      <c r="H812">
        <v>37.08</v>
      </c>
      <c r="I812">
        <v>0</v>
      </c>
      <c r="L812">
        <v>4</v>
      </c>
      <c r="M812">
        <v>4</v>
      </c>
      <c r="N812">
        <v>4</v>
      </c>
      <c r="O812">
        <v>0</v>
      </c>
      <c r="P812">
        <v>45.08</v>
      </c>
      <c r="Q812">
        <v>24</v>
      </c>
      <c r="R812">
        <v>24</v>
      </c>
      <c r="S812">
        <v>9</v>
      </c>
      <c r="T812">
        <v>0</v>
      </c>
      <c r="U812" s="1">
        <v>0</v>
      </c>
      <c r="V812">
        <v>78.08</v>
      </c>
    </row>
    <row r="813" spans="1:22" ht="15">
      <c r="A813" s="4">
        <v>806</v>
      </c>
      <c r="B813">
        <v>685</v>
      </c>
      <c r="C813" t="s">
        <v>1934</v>
      </c>
      <c r="D813" t="s">
        <v>1397</v>
      </c>
      <c r="E813" t="s">
        <v>1935</v>
      </c>
      <c r="F813" t="s">
        <v>1936</v>
      </c>
      <c r="G813" t="str">
        <f>"00516152"</f>
        <v>00516152</v>
      </c>
      <c r="H813">
        <v>28.8</v>
      </c>
      <c r="I813">
        <v>10</v>
      </c>
      <c r="M813">
        <v>4</v>
      </c>
      <c r="N813">
        <v>0</v>
      </c>
      <c r="O813">
        <v>0</v>
      </c>
      <c r="P813">
        <v>42.8</v>
      </c>
      <c r="Q813">
        <v>29</v>
      </c>
      <c r="R813">
        <v>29</v>
      </c>
      <c r="S813">
        <v>6</v>
      </c>
      <c r="T813">
        <v>0</v>
      </c>
      <c r="U813" s="1">
        <v>0</v>
      </c>
      <c r="V813">
        <v>77.8</v>
      </c>
    </row>
    <row r="814" spans="1:22" ht="15">
      <c r="A814" s="4">
        <v>807</v>
      </c>
      <c r="B814">
        <v>2047</v>
      </c>
      <c r="C814" t="s">
        <v>1937</v>
      </c>
      <c r="D814" t="s">
        <v>971</v>
      </c>
      <c r="E814" t="s">
        <v>59</v>
      </c>
      <c r="F814" t="s">
        <v>1938</v>
      </c>
      <c r="G814" t="str">
        <f>"00523496"</f>
        <v>00523496</v>
      </c>
      <c r="H814">
        <v>28.8</v>
      </c>
      <c r="I814">
        <v>10</v>
      </c>
      <c r="L814">
        <v>4</v>
      </c>
      <c r="M814">
        <v>4</v>
      </c>
      <c r="N814">
        <v>4</v>
      </c>
      <c r="O814">
        <v>0</v>
      </c>
      <c r="P814">
        <v>46.8</v>
      </c>
      <c r="Q814">
        <v>31</v>
      </c>
      <c r="R814">
        <v>31</v>
      </c>
      <c r="S814">
        <v>0</v>
      </c>
      <c r="T814">
        <v>0</v>
      </c>
      <c r="U814" s="1">
        <v>0</v>
      </c>
      <c r="V814">
        <v>77.8</v>
      </c>
    </row>
    <row r="815" spans="1:22" ht="15">
      <c r="A815" s="4">
        <v>808</v>
      </c>
      <c r="B815">
        <v>70</v>
      </c>
      <c r="C815" t="s">
        <v>32</v>
      </c>
      <c r="D815" t="s">
        <v>156</v>
      </c>
      <c r="E815" t="s">
        <v>1180</v>
      </c>
      <c r="F815" t="s">
        <v>1939</v>
      </c>
      <c r="G815" t="str">
        <f>"200802005274"</f>
        <v>200802005274</v>
      </c>
      <c r="H815">
        <v>28.8</v>
      </c>
      <c r="I815">
        <v>0</v>
      </c>
      <c r="J815">
        <v>8</v>
      </c>
      <c r="M815">
        <v>4</v>
      </c>
      <c r="N815">
        <v>8</v>
      </c>
      <c r="O815">
        <v>2</v>
      </c>
      <c r="P815">
        <v>42.8</v>
      </c>
      <c r="Q815">
        <v>32</v>
      </c>
      <c r="R815">
        <v>32</v>
      </c>
      <c r="S815">
        <v>3</v>
      </c>
      <c r="T815">
        <v>0</v>
      </c>
      <c r="U815" s="1">
        <v>0</v>
      </c>
      <c r="V815">
        <v>77.8</v>
      </c>
    </row>
    <row r="816" spans="1:22" ht="15">
      <c r="A816" s="4">
        <v>809</v>
      </c>
      <c r="B816">
        <v>1638</v>
      </c>
      <c r="C816" t="s">
        <v>1940</v>
      </c>
      <c r="D816" t="s">
        <v>1941</v>
      </c>
      <c r="E816" t="s">
        <v>1942</v>
      </c>
      <c r="F816" t="s">
        <v>1943</v>
      </c>
      <c r="G816" t="str">
        <f>"00365161"</f>
        <v>00365161</v>
      </c>
      <c r="H816">
        <v>64.8</v>
      </c>
      <c r="I816">
        <v>0</v>
      </c>
      <c r="M816">
        <v>4</v>
      </c>
      <c r="N816">
        <v>0</v>
      </c>
      <c r="O816">
        <v>0</v>
      </c>
      <c r="P816">
        <v>68.8</v>
      </c>
      <c r="Q816">
        <v>6</v>
      </c>
      <c r="R816">
        <v>6</v>
      </c>
      <c r="S816">
        <v>3</v>
      </c>
      <c r="T816">
        <v>0</v>
      </c>
      <c r="U816" s="1">
        <v>0</v>
      </c>
      <c r="V816">
        <v>77.8</v>
      </c>
    </row>
    <row r="817" spans="1:22" ht="15">
      <c r="A817" s="4">
        <v>810</v>
      </c>
      <c r="B817">
        <v>3364</v>
      </c>
      <c r="C817" t="s">
        <v>392</v>
      </c>
      <c r="D817" t="s">
        <v>89</v>
      </c>
      <c r="E817" t="s">
        <v>327</v>
      </c>
      <c r="F817" t="s">
        <v>1944</v>
      </c>
      <c r="G817" t="str">
        <f>"00161242"</f>
        <v>00161242</v>
      </c>
      <c r="H817">
        <v>33.72</v>
      </c>
      <c r="I817">
        <v>0</v>
      </c>
      <c r="M817">
        <v>0</v>
      </c>
      <c r="N817">
        <v>0</v>
      </c>
      <c r="O817">
        <v>0</v>
      </c>
      <c r="P817">
        <v>33.72</v>
      </c>
      <c r="Q817">
        <v>38</v>
      </c>
      <c r="R817">
        <v>38</v>
      </c>
      <c r="S817">
        <v>6</v>
      </c>
      <c r="T817">
        <v>0</v>
      </c>
      <c r="U817" s="1">
        <v>0</v>
      </c>
      <c r="V817">
        <v>77.72</v>
      </c>
    </row>
    <row r="818" spans="1:22" ht="15">
      <c r="A818" s="4">
        <v>811</v>
      </c>
      <c r="B818">
        <v>66</v>
      </c>
      <c r="C818" t="s">
        <v>1945</v>
      </c>
      <c r="D818" t="s">
        <v>89</v>
      </c>
      <c r="E818" t="s">
        <v>344</v>
      </c>
      <c r="F818" t="s">
        <v>1946</v>
      </c>
      <c r="G818" t="str">
        <f>"00486867"</f>
        <v>00486867</v>
      </c>
      <c r="H818">
        <v>57.6</v>
      </c>
      <c r="I818">
        <v>10</v>
      </c>
      <c r="M818">
        <v>4</v>
      </c>
      <c r="N818">
        <v>0</v>
      </c>
      <c r="O818">
        <v>0</v>
      </c>
      <c r="P818">
        <v>71.6</v>
      </c>
      <c r="Q818">
        <v>0</v>
      </c>
      <c r="R818">
        <v>0</v>
      </c>
      <c r="S818">
        <v>6</v>
      </c>
      <c r="T818">
        <v>0</v>
      </c>
      <c r="U818" s="1">
        <v>0</v>
      </c>
      <c r="V818">
        <v>77.6</v>
      </c>
    </row>
    <row r="819" spans="1:22" ht="15">
      <c r="A819" s="4">
        <v>812</v>
      </c>
      <c r="B819">
        <v>2697</v>
      </c>
      <c r="C819" t="s">
        <v>1947</v>
      </c>
      <c r="D819" t="s">
        <v>14</v>
      </c>
      <c r="E819" t="s">
        <v>447</v>
      </c>
      <c r="F819" t="s">
        <v>1948</v>
      </c>
      <c r="G819" t="str">
        <f>"200805001275"</f>
        <v>200805001275</v>
      </c>
      <c r="H819">
        <v>57.6</v>
      </c>
      <c r="I819">
        <v>10</v>
      </c>
      <c r="M819">
        <v>4</v>
      </c>
      <c r="N819">
        <v>0</v>
      </c>
      <c r="O819">
        <v>0</v>
      </c>
      <c r="P819">
        <v>71.6</v>
      </c>
      <c r="Q819">
        <v>0</v>
      </c>
      <c r="R819">
        <v>0</v>
      </c>
      <c r="S819">
        <v>6</v>
      </c>
      <c r="T819">
        <v>0</v>
      </c>
      <c r="U819" s="1">
        <v>0</v>
      </c>
      <c r="V819">
        <v>77.6</v>
      </c>
    </row>
    <row r="820" spans="1:22" ht="15">
      <c r="A820" s="4">
        <v>813</v>
      </c>
      <c r="B820">
        <v>566</v>
      </c>
      <c r="C820" t="s">
        <v>1949</v>
      </c>
      <c r="D820" t="s">
        <v>1378</v>
      </c>
      <c r="E820" t="s">
        <v>161</v>
      </c>
      <c r="F820" t="s">
        <v>1950</v>
      </c>
      <c r="G820" t="str">
        <f>"00530395"</f>
        <v>00530395</v>
      </c>
      <c r="H820">
        <v>57.6</v>
      </c>
      <c r="I820">
        <v>0</v>
      </c>
      <c r="J820">
        <v>8</v>
      </c>
      <c r="M820">
        <v>4</v>
      </c>
      <c r="N820">
        <v>8</v>
      </c>
      <c r="O820">
        <v>0</v>
      </c>
      <c r="P820">
        <v>69.6</v>
      </c>
      <c r="Q820">
        <v>8</v>
      </c>
      <c r="R820">
        <v>8</v>
      </c>
      <c r="S820">
        <v>0</v>
      </c>
      <c r="T820">
        <v>0</v>
      </c>
      <c r="U820" s="1">
        <v>0</v>
      </c>
      <c r="V820">
        <v>77.6</v>
      </c>
    </row>
    <row r="821" spans="1:22" ht="15">
      <c r="A821" s="4">
        <v>814</v>
      </c>
      <c r="B821">
        <v>899</v>
      </c>
      <c r="C821" t="s">
        <v>1951</v>
      </c>
      <c r="D821" t="s">
        <v>89</v>
      </c>
      <c r="E821" t="s">
        <v>90</v>
      </c>
      <c r="F821" t="s">
        <v>1952</v>
      </c>
      <c r="G821" t="str">
        <f>"00480075"</f>
        <v>00480075</v>
      </c>
      <c r="H821">
        <v>35.56</v>
      </c>
      <c r="I821">
        <v>0</v>
      </c>
      <c r="M821">
        <v>4</v>
      </c>
      <c r="N821">
        <v>0</v>
      </c>
      <c r="O821">
        <v>0</v>
      </c>
      <c r="P821">
        <v>39.56</v>
      </c>
      <c r="Q821">
        <v>32</v>
      </c>
      <c r="R821">
        <v>32</v>
      </c>
      <c r="S821">
        <v>6</v>
      </c>
      <c r="T821">
        <v>0</v>
      </c>
      <c r="U821" s="1">
        <v>0</v>
      </c>
      <c r="V821">
        <v>77.56</v>
      </c>
    </row>
    <row r="822" spans="1:22" ht="15">
      <c r="A822" s="4">
        <v>815</v>
      </c>
      <c r="B822">
        <v>3201</v>
      </c>
      <c r="C822" t="s">
        <v>1953</v>
      </c>
      <c r="D822" t="s">
        <v>156</v>
      </c>
      <c r="E822" t="s">
        <v>30</v>
      </c>
      <c r="F822" t="s">
        <v>1954</v>
      </c>
      <c r="G822" t="str">
        <f>"00494455"</f>
        <v>00494455</v>
      </c>
      <c r="H822">
        <v>14.4</v>
      </c>
      <c r="I822">
        <v>0</v>
      </c>
      <c r="M822">
        <v>4</v>
      </c>
      <c r="N822">
        <v>0</v>
      </c>
      <c r="O822">
        <v>0</v>
      </c>
      <c r="P822">
        <v>18.4</v>
      </c>
      <c r="Q822">
        <v>59</v>
      </c>
      <c r="R822">
        <v>59</v>
      </c>
      <c r="S822">
        <v>0</v>
      </c>
      <c r="T822">
        <v>0</v>
      </c>
      <c r="U822" s="1">
        <v>0</v>
      </c>
      <c r="V822">
        <v>77.4</v>
      </c>
    </row>
    <row r="823" spans="1:22" ht="15">
      <c r="A823" s="4">
        <v>816</v>
      </c>
      <c r="B823">
        <v>909</v>
      </c>
      <c r="C823" t="s">
        <v>1438</v>
      </c>
      <c r="D823" t="s">
        <v>1955</v>
      </c>
      <c r="E823" t="s">
        <v>1956</v>
      </c>
      <c r="F823" t="s">
        <v>1957</v>
      </c>
      <c r="G823" t="str">
        <f>"00477642"</f>
        <v>00477642</v>
      </c>
      <c r="H823">
        <v>7.2</v>
      </c>
      <c r="I823">
        <v>0</v>
      </c>
      <c r="L823">
        <v>4</v>
      </c>
      <c r="M823">
        <v>4</v>
      </c>
      <c r="N823">
        <v>4</v>
      </c>
      <c r="O823">
        <v>0</v>
      </c>
      <c r="P823">
        <v>15.2</v>
      </c>
      <c r="Q823">
        <v>62</v>
      </c>
      <c r="R823">
        <v>62</v>
      </c>
      <c r="S823">
        <v>0</v>
      </c>
      <c r="T823">
        <v>0</v>
      </c>
      <c r="U823" s="1">
        <v>0</v>
      </c>
      <c r="V823">
        <v>77.2</v>
      </c>
    </row>
    <row r="824" spans="1:22" ht="15">
      <c r="A824" s="4">
        <v>817</v>
      </c>
      <c r="B824">
        <v>2825</v>
      </c>
      <c r="C824" t="s">
        <v>1958</v>
      </c>
      <c r="D824" t="s">
        <v>130</v>
      </c>
      <c r="E824" t="s">
        <v>19</v>
      </c>
      <c r="F824" t="s">
        <v>1959</v>
      </c>
      <c r="G824" t="str">
        <f>"00404480"</f>
        <v>00404480</v>
      </c>
      <c r="H824">
        <v>43.2</v>
      </c>
      <c r="I824">
        <v>0</v>
      </c>
      <c r="M824">
        <v>0</v>
      </c>
      <c r="N824">
        <v>0</v>
      </c>
      <c r="O824">
        <v>0</v>
      </c>
      <c r="P824">
        <v>43.2</v>
      </c>
      <c r="Q824">
        <v>34</v>
      </c>
      <c r="R824">
        <v>34</v>
      </c>
      <c r="S824">
        <v>0</v>
      </c>
      <c r="T824">
        <v>0</v>
      </c>
      <c r="U824" s="1">
        <v>0</v>
      </c>
      <c r="V824">
        <v>77.2</v>
      </c>
    </row>
    <row r="825" spans="1:22" ht="15">
      <c r="A825" s="4">
        <v>818</v>
      </c>
      <c r="B825">
        <v>498</v>
      </c>
      <c r="C825" t="s">
        <v>1960</v>
      </c>
      <c r="D825" t="s">
        <v>22</v>
      </c>
      <c r="E825" t="s">
        <v>11</v>
      </c>
      <c r="F825" t="s">
        <v>1961</v>
      </c>
      <c r="G825" t="str">
        <f>"00503018"</f>
        <v>00503018</v>
      </c>
      <c r="H825">
        <v>23.08</v>
      </c>
      <c r="I825">
        <v>10</v>
      </c>
      <c r="M825">
        <v>4</v>
      </c>
      <c r="N825">
        <v>0</v>
      </c>
      <c r="O825">
        <v>0</v>
      </c>
      <c r="P825">
        <v>37.08</v>
      </c>
      <c r="Q825">
        <v>40</v>
      </c>
      <c r="R825">
        <v>40</v>
      </c>
      <c r="S825">
        <v>0</v>
      </c>
      <c r="T825">
        <v>0</v>
      </c>
      <c r="U825" s="1">
        <v>0</v>
      </c>
      <c r="V825">
        <v>77.08</v>
      </c>
    </row>
    <row r="826" spans="1:22" ht="15">
      <c r="A826" s="4">
        <v>819</v>
      </c>
      <c r="B826">
        <v>1973</v>
      </c>
      <c r="C826" t="s">
        <v>691</v>
      </c>
      <c r="D826" t="s">
        <v>156</v>
      </c>
      <c r="E826" t="s">
        <v>1962</v>
      </c>
      <c r="F826" t="s">
        <v>1963</v>
      </c>
      <c r="G826" t="str">
        <f>"00482757"</f>
        <v>00482757</v>
      </c>
      <c r="H826">
        <v>36</v>
      </c>
      <c r="I826">
        <v>0</v>
      </c>
      <c r="L826">
        <v>4</v>
      </c>
      <c r="M826">
        <v>4</v>
      </c>
      <c r="N826">
        <v>4</v>
      </c>
      <c r="O826">
        <v>0</v>
      </c>
      <c r="P826">
        <v>44</v>
      </c>
      <c r="Q826">
        <v>33</v>
      </c>
      <c r="R826">
        <v>33</v>
      </c>
      <c r="S826">
        <v>0</v>
      </c>
      <c r="T826">
        <v>0</v>
      </c>
      <c r="U826" s="1">
        <v>0</v>
      </c>
      <c r="V826">
        <v>77</v>
      </c>
    </row>
    <row r="827" spans="1:22" ht="15">
      <c r="A827" s="4">
        <v>820</v>
      </c>
      <c r="B827">
        <v>2513</v>
      </c>
      <c r="C827" t="s">
        <v>935</v>
      </c>
      <c r="D827" t="s">
        <v>1964</v>
      </c>
      <c r="E827" t="s">
        <v>23</v>
      </c>
      <c r="F827" t="s">
        <v>1965</v>
      </c>
      <c r="G827" t="str">
        <f>"201507002988"</f>
        <v>201507002988</v>
      </c>
      <c r="H827">
        <v>36</v>
      </c>
      <c r="I827">
        <v>0</v>
      </c>
      <c r="L827">
        <v>4</v>
      </c>
      <c r="M827">
        <v>4</v>
      </c>
      <c r="N827">
        <v>4</v>
      </c>
      <c r="O827">
        <v>0</v>
      </c>
      <c r="P827">
        <v>44</v>
      </c>
      <c r="Q827">
        <v>33</v>
      </c>
      <c r="R827">
        <v>33</v>
      </c>
      <c r="S827">
        <v>0</v>
      </c>
      <c r="T827">
        <v>0</v>
      </c>
      <c r="U827" s="1">
        <v>0</v>
      </c>
      <c r="V827">
        <v>77</v>
      </c>
    </row>
    <row r="828" spans="1:22" ht="15">
      <c r="A828" s="4">
        <v>821</v>
      </c>
      <c r="B828">
        <v>612</v>
      </c>
      <c r="C828" t="s">
        <v>1966</v>
      </c>
      <c r="D828" t="s">
        <v>339</v>
      </c>
      <c r="E828" t="s">
        <v>190</v>
      </c>
      <c r="F828">
        <v>785081</v>
      </c>
      <c r="G828" t="str">
        <f>"00529824"</f>
        <v>00529824</v>
      </c>
      <c r="H828">
        <v>0</v>
      </c>
      <c r="I828">
        <v>0</v>
      </c>
      <c r="M828">
        <v>4</v>
      </c>
      <c r="N828">
        <v>0</v>
      </c>
      <c r="O828">
        <v>0</v>
      </c>
      <c r="P828">
        <v>4</v>
      </c>
      <c r="Q828">
        <v>67</v>
      </c>
      <c r="R828">
        <v>67</v>
      </c>
      <c r="S828">
        <v>6</v>
      </c>
      <c r="T828">
        <v>0</v>
      </c>
      <c r="U828" s="1">
        <v>0</v>
      </c>
      <c r="V828">
        <v>77</v>
      </c>
    </row>
    <row r="829" spans="1:22" ht="15">
      <c r="A829" s="4">
        <v>822</v>
      </c>
      <c r="B829">
        <v>1410</v>
      </c>
      <c r="C829" t="s">
        <v>1967</v>
      </c>
      <c r="D829" t="s">
        <v>76</v>
      </c>
      <c r="E829" t="s">
        <v>11</v>
      </c>
      <c r="F829" t="s">
        <v>1968</v>
      </c>
      <c r="G829" t="str">
        <f>"00507009"</f>
        <v>00507009</v>
      </c>
      <c r="H829">
        <v>34</v>
      </c>
      <c r="I829">
        <v>0</v>
      </c>
      <c r="M829">
        <v>4</v>
      </c>
      <c r="N829">
        <v>0</v>
      </c>
      <c r="O829">
        <v>0</v>
      </c>
      <c r="P829">
        <v>38</v>
      </c>
      <c r="Q829">
        <v>33</v>
      </c>
      <c r="R829">
        <v>33</v>
      </c>
      <c r="S829">
        <v>6</v>
      </c>
      <c r="T829">
        <v>0</v>
      </c>
      <c r="U829" s="1">
        <v>0</v>
      </c>
      <c r="V829">
        <v>77</v>
      </c>
    </row>
    <row r="830" spans="1:22" ht="15">
      <c r="A830" s="4">
        <v>823</v>
      </c>
      <c r="B830">
        <v>1676</v>
      </c>
      <c r="C830" t="s">
        <v>1969</v>
      </c>
      <c r="D830" t="s">
        <v>68</v>
      </c>
      <c r="E830" t="s">
        <v>161</v>
      </c>
      <c r="F830" t="s">
        <v>1970</v>
      </c>
      <c r="G830" t="str">
        <f>"201412000114"</f>
        <v>201412000114</v>
      </c>
      <c r="H830">
        <v>29.88</v>
      </c>
      <c r="I830">
        <v>0</v>
      </c>
      <c r="L830">
        <v>4</v>
      </c>
      <c r="M830">
        <v>4</v>
      </c>
      <c r="N830">
        <v>4</v>
      </c>
      <c r="O830">
        <v>2</v>
      </c>
      <c r="P830">
        <v>39.88</v>
      </c>
      <c r="Q830">
        <v>37</v>
      </c>
      <c r="R830">
        <v>37</v>
      </c>
      <c r="S830">
        <v>0</v>
      </c>
      <c r="T830">
        <v>0</v>
      </c>
      <c r="U830" s="1">
        <v>0</v>
      </c>
      <c r="V830">
        <v>76.88</v>
      </c>
    </row>
    <row r="831" spans="1:22" ht="15">
      <c r="A831" s="4">
        <v>824</v>
      </c>
      <c r="B831">
        <v>1205</v>
      </c>
      <c r="C831" t="s">
        <v>1971</v>
      </c>
      <c r="D831" t="s">
        <v>40</v>
      </c>
      <c r="E831" t="s">
        <v>1180</v>
      </c>
      <c r="F831" t="s">
        <v>1972</v>
      </c>
      <c r="G831" t="str">
        <f>"201406017996"</f>
        <v>201406017996</v>
      </c>
      <c r="H831">
        <v>64.8</v>
      </c>
      <c r="I831">
        <v>0</v>
      </c>
      <c r="K831">
        <v>6</v>
      </c>
      <c r="M831">
        <v>4</v>
      </c>
      <c r="N831">
        <v>6</v>
      </c>
      <c r="O831">
        <v>2</v>
      </c>
      <c r="P831">
        <v>76.8</v>
      </c>
      <c r="Q831">
        <v>0</v>
      </c>
      <c r="R831">
        <v>0</v>
      </c>
      <c r="S831">
        <v>0</v>
      </c>
      <c r="T831">
        <v>0</v>
      </c>
      <c r="U831" s="1">
        <v>0</v>
      </c>
      <c r="V831">
        <v>76.8</v>
      </c>
    </row>
    <row r="832" spans="1:22" ht="15">
      <c r="A832" s="4">
        <v>825</v>
      </c>
      <c r="B832">
        <v>2515</v>
      </c>
      <c r="C832" t="s">
        <v>1973</v>
      </c>
      <c r="D832" t="s">
        <v>1974</v>
      </c>
      <c r="E832" t="s">
        <v>134</v>
      </c>
      <c r="F832" t="s">
        <v>1975</v>
      </c>
      <c r="G832" t="str">
        <f>"00531397"</f>
        <v>00531397</v>
      </c>
      <c r="H832">
        <v>64.8</v>
      </c>
      <c r="I832">
        <v>0</v>
      </c>
      <c r="J832">
        <v>8</v>
      </c>
      <c r="M832">
        <v>4</v>
      </c>
      <c r="N832">
        <v>8</v>
      </c>
      <c r="O832">
        <v>0</v>
      </c>
      <c r="P832">
        <v>76.8</v>
      </c>
      <c r="Q832">
        <v>0</v>
      </c>
      <c r="R832">
        <v>0</v>
      </c>
      <c r="S832">
        <v>0</v>
      </c>
      <c r="T832">
        <v>0</v>
      </c>
      <c r="U832" s="1">
        <v>0</v>
      </c>
      <c r="V832">
        <v>76.8</v>
      </c>
    </row>
    <row r="833" spans="1:22" ht="15">
      <c r="A833" s="4">
        <v>826</v>
      </c>
      <c r="B833">
        <v>2740</v>
      </c>
      <c r="C833" t="s">
        <v>967</v>
      </c>
      <c r="D833" t="s">
        <v>692</v>
      </c>
      <c r="E833" t="s">
        <v>73</v>
      </c>
      <c r="F833" t="s">
        <v>1976</v>
      </c>
      <c r="G833" t="str">
        <f>"00533475"</f>
        <v>00533475</v>
      </c>
      <c r="H833">
        <v>64.8</v>
      </c>
      <c r="I833">
        <v>0</v>
      </c>
      <c r="M833">
        <v>4</v>
      </c>
      <c r="N833">
        <v>0</v>
      </c>
      <c r="O833">
        <v>0</v>
      </c>
      <c r="P833">
        <v>68.8</v>
      </c>
      <c r="Q833">
        <v>8</v>
      </c>
      <c r="R833">
        <v>8</v>
      </c>
      <c r="S833">
        <v>0</v>
      </c>
      <c r="T833">
        <v>0</v>
      </c>
      <c r="U833" s="1">
        <v>0</v>
      </c>
      <c r="V833">
        <v>76.8</v>
      </c>
    </row>
    <row r="834" spans="1:22" ht="15">
      <c r="A834" s="4">
        <v>827</v>
      </c>
      <c r="B834">
        <v>543</v>
      </c>
      <c r="C834" t="s">
        <v>1977</v>
      </c>
      <c r="D834" t="s">
        <v>14</v>
      </c>
      <c r="E834" t="s">
        <v>1180</v>
      </c>
      <c r="F834" t="s">
        <v>1978</v>
      </c>
      <c r="G834" t="str">
        <f>"00187980"</f>
        <v>00187980</v>
      </c>
      <c r="H834">
        <v>28.8</v>
      </c>
      <c r="I834">
        <v>0</v>
      </c>
      <c r="M834">
        <v>4</v>
      </c>
      <c r="N834">
        <v>0</v>
      </c>
      <c r="O834">
        <v>0</v>
      </c>
      <c r="P834">
        <v>32.8</v>
      </c>
      <c r="Q834">
        <v>38</v>
      </c>
      <c r="R834">
        <v>38</v>
      </c>
      <c r="S834">
        <v>6</v>
      </c>
      <c r="T834">
        <v>0</v>
      </c>
      <c r="U834" s="1">
        <v>0</v>
      </c>
      <c r="V834">
        <v>76.8</v>
      </c>
    </row>
    <row r="835" spans="1:22" ht="15">
      <c r="A835" s="4">
        <v>828</v>
      </c>
      <c r="B835">
        <v>3360</v>
      </c>
      <c r="C835" t="s">
        <v>1979</v>
      </c>
      <c r="D835" t="s">
        <v>89</v>
      </c>
      <c r="E835" t="s">
        <v>364</v>
      </c>
      <c r="F835" t="s">
        <v>1980</v>
      </c>
      <c r="G835" t="str">
        <f>"201402005200"</f>
        <v>201402005200</v>
      </c>
      <c r="H835">
        <v>64.8</v>
      </c>
      <c r="I835">
        <v>0</v>
      </c>
      <c r="J835">
        <v>8</v>
      </c>
      <c r="M835">
        <v>4</v>
      </c>
      <c r="N835">
        <v>8</v>
      </c>
      <c r="O835">
        <v>0</v>
      </c>
      <c r="P835">
        <v>76.8</v>
      </c>
      <c r="Q835">
        <v>0</v>
      </c>
      <c r="R835">
        <v>0</v>
      </c>
      <c r="S835">
        <v>0</v>
      </c>
      <c r="T835">
        <v>0</v>
      </c>
      <c r="U835" s="1">
        <v>0</v>
      </c>
      <c r="V835">
        <v>76.8</v>
      </c>
    </row>
    <row r="836" spans="1:22" ht="15">
      <c r="A836" s="4">
        <v>829</v>
      </c>
      <c r="B836">
        <v>1988</v>
      </c>
      <c r="C836" t="s">
        <v>1981</v>
      </c>
      <c r="D836" t="s">
        <v>319</v>
      </c>
      <c r="E836" t="s">
        <v>90</v>
      </c>
      <c r="F836" t="s">
        <v>1982</v>
      </c>
      <c r="G836" t="str">
        <f>"00530372"</f>
        <v>00530372</v>
      </c>
      <c r="H836">
        <v>57.6</v>
      </c>
      <c r="I836">
        <v>0</v>
      </c>
      <c r="L836">
        <v>4</v>
      </c>
      <c r="M836">
        <v>4</v>
      </c>
      <c r="N836">
        <v>4</v>
      </c>
      <c r="O836">
        <v>0</v>
      </c>
      <c r="P836">
        <v>65.6</v>
      </c>
      <c r="Q836">
        <v>8</v>
      </c>
      <c r="R836">
        <v>8</v>
      </c>
      <c r="S836">
        <v>3</v>
      </c>
      <c r="T836">
        <v>0</v>
      </c>
      <c r="U836" s="1">
        <v>0</v>
      </c>
      <c r="V836">
        <v>76.6</v>
      </c>
    </row>
    <row r="837" spans="1:22" ht="15">
      <c r="A837" s="4">
        <v>830</v>
      </c>
      <c r="B837">
        <v>1742</v>
      </c>
      <c r="C837" t="s">
        <v>1983</v>
      </c>
      <c r="D837" t="s">
        <v>189</v>
      </c>
      <c r="E837" t="s">
        <v>99</v>
      </c>
      <c r="F837" t="s">
        <v>1984</v>
      </c>
      <c r="G837" t="str">
        <f>"00522658"</f>
        <v>00522658</v>
      </c>
      <c r="H837">
        <v>57.6</v>
      </c>
      <c r="I837">
        <v>0</v>
      </c>
      <c r="L837">
        <v>4</v>
      </c>
      <c r="M837">
        <v>4</v>
      </c>
      <c r="N837">
        <v>4</v>
      </c>
      <c r="O837">
        <v>0</v>
      </c>
      <c r="P837">
        <v>65.6</v>
      </c>
      <c r="Q837">
        <v>8</v>
      </c>
      <c r="R837">
        <v>8</v>
      </c>
      <c r="S837">
        <v>3</v>
      </c>
      <c r="T837">
        <v>0</v>
      </c>
      <c r="U837" s="1">
        <v>0</v>
      </c>
      <c r="V837">
        <v>76.6</v>
      </c>
    </row>
    <row r="838" spans="1:22" ht="15">
      <c r="A838" s="4">
        <v>831</v>
      </c>
      <c r="B838">
        <v>3214</v>
      </c>
      <c r="C838" t="s">
        <v>1985</v>
      </c>
      <c r="D838" t="s">
        <v>1986</v>
      </c>
      <c r="E838" t="s">
        <v>1987</v>
      </c>
      <c r="F838" t="s">
        <v>1988</v>
      </c>
      <c r="G838" t="str">
        <f>"00471431"</f>
        <v>00471431</v>
      </c>
      <c r="H838">
        <v>29.52</v>
      </c>
      <c r="I838">
        <v>10</v>
      </c>
      <c r="M838">
        <v>4</v>
      </c>
      <c r="N838">
        <v>0</v>
      </c>
      <c r="O838">
        <v>0</v>
      </c>
      <c r="P838">
        <v>43.52</v>
      </c>
      <c r="Q838">
        <v>0</v>
      </c>
      <c r="R838">
        <v>0</v>
      </c>
      <c r="S838">
        <v>3</v>
      </c>
      <c r="T838">
        <v>30</v>
      </c>
      <c r="U838" s="1">
        <v>0</v>
      </c>
      <c r="V838">
        <v>76.52</v>
      </c>
    </row>
    <row r="839" spans="1:22" ht="15">
      <c r="A839" s="4">
        <v>832</v>
      </c>
      <c r="B839">
        <v>2495</v>
      </c>
      <c r="C839" t="s">
        <v>1989</v>
      </c>
      <c r="D839" t="s">
        <v>480</v>
      </c>
      <c r="E839" t="s">
        <v>73</v>
      </c>
      <c r="F839" t="s">
        <v>1990</v>
      </c>
      <c r="G839" t="str">
        <f>"00484587"</f>
        <v>00484587</v>
      </c>
      <c r="H839">
        <v>50.4</v>
      </c>
      <c r="I839">
        <v>0</v>
      </c>
      <c r="L839">
        <v>4</v>
      </c>
      <c r="M839">
        <v>4</v>
      </c>
      <c r="N839">
        <v>4</v>
      </c>
      <c r="O839">
        <v>0</v>
      </c>
      <c r="P839">
        <v>58.4</v>
      </c>
      <c r="Q839">
        <v>18</v>
      </c>
      <c r="R839">
        <v>18</v>
      </c>
      <c r="S839">
        <v>0</v>
      </c>
      <c r="T839">
        <v>0</v>
      </c>
      <c r="U839" s="1">
        <v>0</v>
      </c>
      <c r="V839">
        <v>76.4</v>
      </c>
    </row>
    <row r="840" spans="1:22" ht="15">
      <c r="A840" s="4">
        <v>833</v>
      </c>
      <c r="B840">
        <v>242</v>
      </c>
      <c r="C840" t="s">
        <v>1991</v>
      </c>
      <c r="D840" t="s">
        <v>280</v>
      </c>
      <c r="E840" t="s">
        <v>59</v>
      </c>
      <c r="F840" t="s">
        <v>1992</v>
      </c>
      <c r="G840" t="str">
        <f>"200902000724"</f>
        <v>200902000724</v>
      </c>
      <c r="H840">
        <v>50.4</v>
      </c>
      <c r="I840">
        <v>10</v>
      </c>
      <c r="M840">
        <v>4</v>
      </c>
      <c r="N840">
        <v>0</v>
      </c>
      <c r="O840">
        <v>0</v>
      </c>
      <c r="P840">
        <v>64.4</v>
      </c>
      <c r="Q840">
        <v>6</v>
      </c>
      <c r="R840">
        <v>6</v>
      </c>
      <c r="S840">
        <v>6</v>
      </c>
      <c r="T840">
        <v>0</v>
      </c>
      <c r="U840" s="1">
        <v>0</v>
      </c>
      <c r="V840">
        <v>76.4</v>
      </c>
    </row>
    <row r="841" spans="1:22" ht="15">
      <c r="A841" s="4">
        <v>834</v>
      </c>
      <c r="B841">
        <v>3226</v>
      </c>
      <c r="C841" t="s">
        <v>1993</v>
      </c>
      <c r="D841" t="s">
        <v>68</v>
      </c>
      <c r="E841" t="s">
        <v>30</v>
      </c>
      <c r="F841" t="s">
        <v>1994</v>
      </c>
      <c r="G841" t="str">
        <f>"201511030751"</f>
        <v>201511030751</v>
      </c>
      <c r="H841">
        <v>50.4</v>
      </c>
      <c r="I841">
        <v>10</v>
      </c>
      <c r="L841">
        <v>4</v>
      </c>
      <c r="M841">
        <v>4</v>
      </c>
      <c r="N841">
        <v>4</v>
      </c>
      <c r="O841">
        <v>0</v>
      </c>
      <c r="P841">
        <v>68.4</v>
      </c>
      <c r="Q841">
        <v>8</v>
      </c>
      <c r="R841">
        <v>8</v>
      </c>
      <c r="S841">
        <v>0</v>
      </c>
      <c r="T841">
        <v>0</v>
      </c>
      <c r="U841" s="1">
        <v>0</v>
      </c>
      <c r="V841">
        <v>76.4</v>
      </c>
    </row>
    <row r="842" spans="1:22" ht="15">
      <c r="A842" s="4">
        <v>835</v>
      </c>
      <c r="B842">
        <v>2025</v>
      </c>
      <c r="C842" t="s">
        <v>1995</v>
      </c>
      <c r="D842" t="s">
        <v>1996</v>
      </c>
      <c r="E842" t="s">
        <v>30</v>
      </c>
      <c r="F842" t="s">
        <v>1997</v>
      </c>
      <c r="G842" t="str">
        <f>"00530146"</f>
        <v>00530146</v>
      </c>
      <c r="H842">
        <v>24.36</v>
      </c>
      <c r="I842">
        <v>0</v>
      </c>
      <c r="L842">
        <v>4</v>
      </c>
      <c r="M842">
        <v>4</v>
      </c>
      <c r="N842">
        <v>4</v>
      </c>
      <c r="O842">
        <v>0</v>
      </c>
      <c r="P842">
        <v>32.36</v>
      </c>
      <c r="Q842">
        <v>44</v>
      </c>
      <c r="R842">
        <v>44</v>
      </c>
      <c r="S842">
        <v>0</v>
      </c>
      <c r="T842">
        <v>0</v>
      </c>
      <c r="U842" s="1">
        <v>0</v>
      </c>
      <c r="V842">
        <v>76.36</v>
      </c>
    </row>
    <row r="843" spans="1:22" ht="15">
      <c r="A843" s="4">
        <v>836</v>
      </c>
      <c r="B843">
        <v>1790</v>
      </c>
      <c r="C843" t="s">
        <v>1998</v>
      </c>
      <c r="D843" t="s">
        <v>72</v>
      </c>
      <c r="E843" t="s">
        <v>51</v>
      </c>
      <c r="F843" t="s">
        <v>1999</v>
      </c>
      <c r="G843" t="str">
        <f>"00503932"</f>
        <v>00503932</v>
      </c>
      <c r="H843">
        <v>33.32</v>
      </c>
      <c r="I843">
        <v>0</v>
      </c>
      <c r="M843">
        <v>4</v>
      </c>
      <c r="N843">
        <v>0</v>
      </c>
      <c r="O843">
        <v>0</v>
      </c>
      <c r="P843">
        <v>37.32</v>
      </c>
      <c r="Q843">
        <v>30</v>
      </c>
      <c r="R843">
        <v>30</v>
      </c>
      <c r="S843">
        <v>9</v>
      </c>
      <c r="T843">
        <v>0</v>
      </c>
      <c r="U843" s="1">
        <v>0</v>
      </c>
      <c r="V843">
        <v>76.32</v>
      </c>
    </row>
    <row r="844" spans="1:22" ht="15">
      <c r="A844" s="4">
        <v>837</v>
      </c>
      <c r="B844">
        <v>1142</v>
      </c>
      <c r="C844" t="s">
        <v>2000</v>
      </c>
      <c r="D844" t="s">
        <v>68</v>
      </c>
      <c r="E844" t="s">
        <v>23</v>
      </c>
      <c r="F844" t="s">
        <v>2001</v>
      </c>
      <c r="G844" t="str">
        <f>"00511212"</f>
        <v>00511212</v>
      </c>
      <c r="H844">
        <v>38.24</v>
      </c>
      <c r="I844">
        <v>10</v>
      </c>
      <c r="M844">
        <v>4</v>
      </c>
      <c r="N844">
        <v>0</v>
      </c>
      <c r="O844">
        <v>0</v>
      </c>
      <c r="P844">
        <v>52.24</v>
      </c>
      <c r="Q844">
        <v>18</v>
      </c>
      <c r="R844">
        <v>18</v>
      </c>
      <c r="S844">
        <v>6</v>
      </c>
      <c r="T844">
        <v>0</v>
      </c>
      <c r="U844" s="1">
        <v>0</v>
      </c>
      <c r="V844">
        <v>76.24</v>
      </c>
    </row>
    <row r="845" spans="1:22" ht="15">
      <c r="A845" s="4">
        <v>838</v>
      </c>
      <c r="B845">
        <v>2274</v>
      </c>
      <c r="C845" t="s">
        <v>2002</v>
      </c>
      <c r="D845" t="s">
        <v>200</v>
      </c>
      <c r="E845" t="s">
        <v>225</v>
      </c>
      <c r="F845" t="s">
        <v>2003</v>
      </c>
      <c r="G845" t="str">
        <f>"00534043"</f>
        <v>00534043</v>
      </c>
      <c r="H845">
        <v>7.2</v>
      </c>
      <c r="I845">
        <v>0</v>
      </c>
      <c r="M845">
        <v>0</v>
      </c>
      <c r="N845">
        <v>0</v>
      </c>
      <c r="O845">
        <v>2</v>
      </c>
      <c r="P845">
        <v>9.2</v>
      </c>
      <c r="Q845">
        <v>61</v>
      </c>
      <c r="R845">
        <v>61</v>
      </c>
      <c r="S845">
        <v>6</v>
      </c>
      <c r="T845">
        <v>0</v>
      </c>
      <c r="U845" s="1" t="s">
        <v>6251</v>
      </c>
      <c r="V845">
        <v>76.2</v>
      </c>
    </row>
    <row r="846" spans="1:22" ht="15">
      <c r="A846" s="4">
        <v>839</v>
      </c>
      <c r="B846">
        <v>2436</v>
      </c>
      <c r="C846" t="s">
        <v>2004</v>
      </c>
      <c r="D846" t="s">
        <v>2005</v>
      </c>
      <c r="E846" t="s">
        <v>23</v>
      </c>
      <c r="F846" t="s">
        <v>2006</v>
      </c>
      <c r="G846" t="str">
        <f>"00485074"</f>
        <v>00485074</v>
      </c>
      <c r="H846">
        <v>37.2</v>
      </c>
      <c r="I846">
        <v>10</v>
      </c>
      <c r="M846">
        <v>4</v>
      </c>
      <c r="N846">
        <v>0</v>
      </c>
      <c r="O846">
        <v>0</v>
      </c>
      <c r="P846">
        <v>51.2</v>
      </c>
      <c r="Q846">
        <v>22</v>
      </c>
      <c r="R846">
        <v>22</v>
      </c>
      <c r="S846">
        <v>3</v>
      </c>
      <c r="T846">
        <v>0</v>
      </c>
      <c r="U846" s="1">
        <v>0</v>
      </c>
      <c r="V846">
        <v>76.2</v>
      </c>
    </row>
    <row r="847" spans="1:22" ht="15">
      <c r="A847" s="4">
        <v>840</v>
      </c>
      <c r="B847">
        <v>2351</v>
      </c>
      <c r="C847" t="s">
        <v>2007</v>
      </c>
      <c r="D847" t="s">
        <v>643</v>
      </c>
      <c r="E847" t="s">
        <v>2008</v>
      </c>
      <c r="F847" t="s">
        <v>2009</v>
      </c>
      <c r="G847" t="str">
        <f>"201511019867"</f>
        <v>201511019867</v>
      </c>
      <c r="H847">
        <v>29.08</v>
      </c>
      <c r="I847">
        <v>10</v>
      </c>
      <c r="M847">
        <v>4</v>
      </c>
      <c r="N847">
        <v>0</v>
      </c>
      <c r="O847">
        <v>0</v>
      </c>
      <c r="P847">
        <v>43.08</v>
      </c>
      <c r="Q847">
        <v>33</v>
      </c>
      <c r="R847">
        <v>33</v>
      </c>
      <c r="S847">
        <v>0</v>
      </c>
      <c r="T847">
        <v>0</v>
      </c>
      <c r="U847" s="1">
        <v>0</v>
      </c>
      <c r="V847">
        <v>76.08</v>
      </c>
    </row>
    <row r="848" spans="1:22" ht="15">
      <c r="A848" s="4">
        <v>841</v>
      </c>
      <c r="B848">
        <v>1992</v>
      </c>
      <c r="C848" t="s">
        <v>2010</v>
      </c>
      <c r="D848" t="s">
        <v>523</v>
      </c>
      <c r="E848" t="s">
        <v>73</v>
      </c>
      <c r="F848" t="s">
        <v>2011</v>
      </c>
      <c r="G848" t="str">
        <f>"00442135"</f>
        <v>00442135</v>
      </c>
      <c r="H848">
        <v>26</v>
      </c>
      <c r="I848">
        <v>10</v>
      </c>
      <c r="L848">
        <v>4</v>
      </c>
      <c r="M848">
        <v>4</v>
      </c>
      <c r="N848">
        <v>4</v>
      </c>
      <c r="O848">
        <v>0</v>
      </c>
      <c r="P848">
        <v>44</v>
      </c>
      <c r="Q848">
        <v>32</v>
      </c>
      <c r="R848">
        <v>32</v>
      </c>
      <c r="S848">
        <v>0</v>
      </c>
      <c r="T848">
        <v>0</v>
      </c>
      <c r="U848" s="1">
        <v>0</v>
      </c>
      <c r="V848">
        <v>76</v>
      </c>
    </row>
    <row r="849" spans="1:22" ht="15">
      <c r="A849" s="4">
        <v>842</v>
      </c>
      <c r="B849">
        <v>3014</v>
      </c>
      <c r="C849" t="s">
        <v>2012</v>
      </c>
      <c r="D849" t="s">
        <v>493</v>
      </c>
      <c r="E849" t="s">
        <v>51</v>
      </c>
      <c r="F849" t="s">
        <v>2013</v>
      </c>
      <c r="G849" t="str">
        <f>"00129912"</f>
        <v>00129912</v>
      </c>
      <c r="H849">
        <v>36</v>
      </c>
      <c r="I849">
        <v>0</v>
      </c>
      <c r="J849">
        <v>8</v>
      </c>
      <c r="M849">
        <v>4</v>
      </c>
      <c r="N849">
        <v>8</v>
      </c>
      <c r="O849">
        <v>0</v>
      </c>
      <c r="P849">
        <v>48</v>
      </c>
      <c r="Q849">
        <v>28</v>
      </c>
      <c r="R849">
        <v>28</v>
      </c>
      <c r="S849">
        <v>0</v>
      </c>
      <c r="T849">
        <v>0</v>
      </c>
      <c r="U849" s="1">
        <v>0</v>
      </c>
      <c r="V849">
        <v>76</v>
      </c>
    </row>
    <row r="850" spans="1:22" ht="15">
      <c r="A850" s="4">
        <v>843</v>
      </c>
      <c r="B850">
        <v>1931</v>
      </c>
      <c r="C850" t="s">
        <v>2014</v>
      </c>
      <c r="D850" t="s">
        <v>156</v>
      </c>
      <c r="E850" t="s">
        <v>59</v>
      </c>
      <c r="F850" t="s">
        <v>2015</v>
      </c>
      <c r="G850" t="str">
        <f>"00523877"</f>
        <v>00523877</v>
      </c>
      <c r="H850">
        <v>72</v>
      </c>
      <c r="I850">
        <v>0</v>
      </c>
      <c r="M850">
        <v>4</v>
      </c>
      <c r="N850">
        <v>0</v>
      </c>
      <c r="O850">
        <v>0</v>
      </c>
      <c r="P850">
        <v>76</v>
      </c>
      <c r="Q850">
        <v>0</v>
      </c>
      <c r="R850">
        <v>0</v>
      </c>
      <c r="S850">
        <v>0</v>
      </c>
      <c r="T850">
        <v>0</v>
      </c>
      <c r="U850" s="1">
        <v>0</v>
      </c>
      <c r="V850">
        <v>76</v>
      </c>
    </row>
    <row r="851" spans="1:22" ht="15">
      <c r="A851" s="4">
        <v>844</v>
      </c>
      <c r="B851">
        <v>664</v>
      </c>
      <c r="C851" t="s">
        <v>2016</v>
      </c>
      <c r="D851" t="s">
        <v>179</v>
      </c>
      <c r="E851" t="s">
        <v>90</v>
      </c>
      <c r="F851" t="s">
        <v>2017</v>
      </c>
      <c r="G851" t="str">
        <f>"00531471"</f>
        <v>00531471</v>
      </c>
      <c r="H851">
        <v>43.2</v>
      </c>
      <c r="I851">
        <v>0</v>
      </c>
      <c r="M851">
        <v>0</v>
      </c>
      <c r="N851">
        <v>0</v>
      </c>
      <c r="O851">
        <v>0</v>
      </c>
      <c r="P851">
        <v>43.2</v>
      </c>
      <c r="Q851">
        <v>0</v>
      </c>
      <c r="R851">
        <v>0</v>
      </c>
      <c r="S851">
        <v>6</v>
      </c>
      <c r="T851">
        <v>26.8</v>
      </c>
      <c r="U851" s="1">
        <v>0</v>
      </c>
      <c r="V851">
        <v>76</v>
      </c>
    </row>
    <row r="852" spans="1:22" ht="15">
      <c r="A852" s="4">
        <v>845</v>
      </c>
      <c r="B852">
        <v>2458</v>
      </c>
      <c r="C852" t="s">
        <v>2018</v>
      </c>
      <c r="D852" t="s">
        <v>927</v>
      </c>
      <c r="E852" t="s">
        <v>51</v>
      </c>
      <c r="F852" t="s">
        <v>2019</v>
      </c>
      <c r="G852" t="str">
        <f>"00148418"</f>
        <v>00148418</v>
      </c>
      <c r="H852">
        <v>36</v>
      </c>
      <c r="I852">
        <v>10</v>
      </c>
      <c r="M852">
        <v>4</v>
      </c>
      <c r="N852">
        <v>0</v>
      </c>
      <c r="O852">
        <v>0</v>
      </c>
      <c r="P852">
        <v>50</v>
      </c>
      <c r="Q852">
        <v>23</v>
      </c>
      <c r="R852">
        <v>23</v>
      </c>
      <c r="S852">
        <v>3</v>
      </c>
      <c r="T852">
        <v>0</v>
      </c>
      <c r="U852" s="1">
        <v>0</v>
      </c>
      <c r="V852">
        <v>76</v>
      </c>
    </row>
    <row r="853" spans="1:22" ht="15">
      <c r="A853" s="4">
        <v>846</v>
      </c>
      <c r="B853">
        <v>2830</v>
      </c>
      <c r="C853" t="s">
        <v>2020</v>
      </c>
      <c r="D853" t="s">
        <v>2021</v>
      </c>
      <c r="E853" t="s">
        <v>19</v>
      </c>
      <c r="F853" t="s">
        <v>2022</v>
      </c>
      <c r="G853" t="str">
        <f>"00514971"</f>
        <v>00514971</v>
      </c>
      <c r="H853">
        <v>36</v>
      </c>
      <c r="I853">
        <v>0</v>
      </c>
      <c r="M853">
        <v>0</v>
      </c>
      <c r="N853">
        <v>0</v>
      </c>
      <c r="O853">
        <v>0</v>
      </c>
      <c r="P853">
        <v>36</v>
      </c>
      <c r="Q853">
        <v>40</v>
      </c>
      <c r="R853">
        <v>40</v>
      </c>
      <c r="S853">
        <v>0</v>
      </c>
      <c r="T853">
        <v>0</v>
      </c>
      <c r="U853" s="1">
        <v>0</v>
      </c>
      <c r="V853">
        <v>76</v>
      </c>
    </row>
    <row r="854" spans="1:22" ht="15">
      <c r="A854" s="4">
        <v>847</v>
      </c>
      <c r="B854">
        <v>3415</v>
      </c>
      <c r="C854" t="s">
        <v>786</v>
      </c>
      <c r="D854" t="s">
        <v>2023</v>
      </c>
      <c r="E854" t="s">
        <v>295</v>
      </c>
      <c r="F854" t="s">
        <v>2024</v>
      </c>
      <c r="G854" t="str">
        <f>"00484141"</f>
        <v>00484141</v>
      </c>
      <c r="H854">
        <v>36</v>
      </c>
      <c r="I854">
        <v>0</v>
      </c>
      <c r="M854">
        <v>0</v>
      </c>
      <c r="N854">
        <v>0</v>
      </c>
      <c r="O854">
        <v>2</v>
      </c>
      <c r="P854">
        <v>38</v>
      </c>
      <c r="Q854">
        <v>38</v>
      </c>
      <c r="R854">
        <v>38</v>
      </c>
      <c r="S854">
        <v>0</v>
      </c>
      <c r="T854">
        <v>0</v>
      </c>
      <c r="U854" s="1">
        <v>0</v>
      </c>
      <c r="V854">
        <v>76</v>
      </c>
    </row>
    <row r="855" spans="1:22" ht="15">
      <c r="A855" s="4">
        <v>848</v>
      </c>
      <c r="B855">
        <v>873</v>
      </c>
      <c r="C855" t="s">
        <v>2025</v>
      </c>
      <c r="D855" t="s">
        <v>2026</v>
      </c>
      <c r="E855" t="s">
        <v>11</v>
      </c>
      <c r="F855" t="s">
        <v>2027</v>
      </c>
      <c r="G855" t="str">
        <f>"00037556"</f>
        <v>00037556</v>
      </c>
      <c r="H855">
        <v>40</v>
      </c>
      <c r="I855">
        <v>10</v>
      </c>
      <c r="J855">
        <v>8</v>
      </c>
      <c r="M855">
        <v>4</v>
      </c>
      <c r="N855">
        <v>8</v>
      </c>
      <c r="O855">
        <v>0</v>
      </c>
      <c r="P855">
        <v>62</v>
      </c>
      <c r="Q855">
        <v>11</v>
      </c>
      <c r="R855">
        <v>11</v>
      </c>
      <c r="S855">
        <v>3</v>
      </c>
      <c r="T855">
        <v>0</v>
      </c>
      <c r="U855" s="1">
        <v>0</v>
      </c>
      <c r="V855">
        <v>76</v>
      </c>
    </row>
    <row r="856" spans="1:22" ht="15">
      <c r="A856" s="4">
        <v>849</v>
      </c>
      <c r="B856">
        <v>1019</v>
      </c>
      <c r="C856" t="s">
        <v>2028</v>
      </c>
      <c r="D856" t="s">
        <v>179</v>
      </c>
      <c r="E856" t="s">
        <v>2029</v>
      </c>
      <c r="F856" t="s">
        <v>2030</v>
      </c>
      <c r="G856" t="str">
        <f>"00503187"</f>
        <v>00503187</v>
      </c>
      <c r="H856">
        <v>36</v>
      </c>
      <c r="I856">
        <v>0</v>
      </c>
      <c r="L856">
        <v>4</v>
      </c>
      <c r="M856">
        <v>4</v>
      </c>
      <c r="N856">
        <v>4</v>
      </c>
      <c r="O856">
        <v>0</v>
      </c>
      <c r="P856">
        <v>44</v>
      </c>
      <c r="Q856">
        <v>32</v>
      </c>
      <c r="R856">
        <v>32</v>
      </c>
      <c r="S856">
        <v>0</v>
      </c>
      <c r="T856">
        <v>0</v>
      </c>
      <c r="U856" s="1">
        <v>0</v>
      </c>
      <c r="V856">
        <v>76</v>
      </c>
    </row>
    <row r="857" spans="1:22" ht="15">
      <c r="A857" s="4">
        <v>850</v>
      </c>
      <c r="B857">
        <v>3104</v>
      </c>
      <c r="C857" t="s">
        <v>1270</v>
      </c>
      <c r="D857" t="s">
        <v>102</v>
      </c>
      <c r="E857" t="s">
        <v>23</v>
      </c>
      <c r="F857" t="s">
        <v>2031</v>
      </c>
      <c r="G857" t="str">
        <f>"00530127"</f>
        <v>00530127</v>
      </c>
      <c r="H857">
        <v>36</v>
      </c>
      <c r="I857">
        <v>10</v>
      </c>
      <c r="L857">
        <v>4</v>
      </c>
      <c r="M857">
        <v>0</v>
      </c>
      <c r="N857">
        <v>4</v>
      </c>
      <c r="O857">
        <v>0</v>
      </c>
      <c r="P857">
        <v>50</v>
      </c>
      <c r="Q857">
        <v>26</v>
      </c>
      <c r="R857">
        <v>26</v>
      </c>
      <c r="S857">
        <v>0</v>
      </c>
      <c r="T857">
        <v>0</v>
      </c>
      <c r="U857" s="1">
        <v>0</v>
      </c>
      <c r="V857">
        <v>76</v>
      </c>
    </row>
    <row r="858" spans="1:22" ht="15">
      <c r="A858" s="4">
        <v>851</v>
      </c>
      <c r="B858">
        <v>699</v>
      </c>
      <c r="C858" t="s">
        <v>2032</v>
      </c>
      <c r="D858" t="s">
        <v>2033</v>
      </c>
      <c r="E858" t="s">
        <v>83</v>
      </c>
      <c r="F858" t="s">
        <v>2034</v>
      </c>
      <c r="G858" t="str">
        <f>"00531131"</f>
        <v>00531131</v>
      </c>
      <c r="H858">
        <v>28.8</v>
      </c>
      <c r="I858">
        <v>10</v>
      </c>
      <c r="M858">
        <v>4</v>
      </c>
      <c r="N858">
        <v>0</v>
      </c>
      <c r="O858">
        <v>0</v>
      </c>
      <c r="P858">
        <v>42.8</v>
      </c>
      <c r="Q858">
        <v>30</v>
      </c>
      <c r="R858">
        <v>30</v>
      </c>
      <c r="S858">
        <v>3</v>
      </c>
      <c r="T858">
        <v>0</v>
      </c>
      <c r="U858" s="1">
        <v>0</v>
      </c>
      <c r="V858">
        <v>75.8</v>
      </c>
    </row>
    <row r="859" spans="1:22" ht="15">
      <c r="A859" s="4">
        <v>852</v>
      </c>
      <c r="B859">
        <v>1443</v>
      </c>
      <c r="C859" t="s">
        <v>2035</v>
      </c>
      <c r="D859" t="s">
        <v>2036</v>
      </c>
      <c r="E859" t="s">
        <v>2037</v>
      </c>
      <c r="F859" t="s">
        <v>2038</v>
      </c>
      <c r="G859" t="str">
        <f>"00525320"</f>
        <v>00525320</v>
      </c>
      <c r="H859">
        <v>28.8</v>
      </c>
      <c r="I859">
        <v>0</v>
      </c>
      <c r="M859">
        <v>4</v>
      </c>
      <c r="N859">
        <v>0</v>
      </c>
      <c r="O859">
        <v>0</v>
      </c>
      <c r="P859">
        <v>32.8</v>
      </c>
      <c r="Q859">
        <v>43</v>
      </c>
      <c r="R859">
        <v>43</v>
      </c>
      <c r="S859">
        <v>0</v>
      </c>
      <c r="T859">
        <v>0</v>
      </c>
      <c r="U859" s="1">
        <v>0</v>
      </c>
      <c r="V859">
        <v>75.8</v>
      </c>
    </row>
    <row r="860" spans="1:22" ht="15">
      <c r="A860" s="4">
        <v>853</v>
      </c>
      <c r="B860">
        <v>132</v>
      </c>
      <c r="C860" t="s">
        <v>2039</v>
      </c>
      <c r="D860" t="s">
        <v>160</v>
      </c>
      <c r="E860" t="s">
        <v>11</v>
      </c>
      <c r="F860" t="s">
        <v>2040</v>
      </c>
      <c r="G860" t="str">
        <f>"200912000272"</f>
        <v>200912000272</v>
      </c>
      <c r="H860">
        <v>64.8</v>
      </c>
      <c r="I860">
        <v>0</v>
      </c>
      <c r="L860">
        <v>4</v>
      </c>
      <c r="M860">
        <v>4</v>
      </c>
      <c r="N860">
        <v>4</v>
      </c>
      <c r="O860">
        <v>0</v>
      </c>
      <c r="P860">
        <v>72.8</v>
      </c>
      <c r="Q860">
        <v>0</v>
      </c>
      <c r="R860">
        <v>0</v>
      </c>
      <c r="S860">
        <v>3</v>
      </c>
      <c r="T860">
        <v>0</v>
      </c>
      <c r="U860" s="1">
        <v>0</v>
      </c>
      <c r="V860">
        <v>75.8</v>
      </c>
    </row>
    <row r="861" spans="1:22" ht="15">
      <c r="A861" s="4">
        <v>854</v>
      </c>
      <c r="B861">
        <v>121</v>
      </c>
      <c r="C861" t="s">
        <v>2041</v>
      </c>
      <c r="D861" t="s">
        <v>367</v>
      </c>
      <c r="E861" t="s">
        <v>19</v>
      </c>
      <c r="F861" t="s">
        <v>2042</v>
      </c>
      <c r="G861" t="str">
        <f>"00498462"</f>
        <v>00498462</v>
      </c>
      <c r="H861">
        <v>28.8</v>
      </c>
      <c r="I861">
        <v>10</v>
      </c>
      <c r="M861">
        <v>4</v>
      </c>
      <c r="N861">
        <v>0</v>
      </c>
      <c r="O861">
        <v>0</v>
      </c>
      <c r="P861">
        <v>42.8</v>
      </c>
      <c r="Q861">
        <v>33</v>
      </c>
      <c r="R861">
        <v>33</v>
      </c>
      <c r="S861">
        <v>0</v>
      </c>
      <c r="T861">
        <v>0</v>
      </c>
      <c r="U861" s="1" t="s">
        <v>6251</v>
      </c>
      <c r="V861">
        <v>75.8</v>
      </c>
    </row>
    <row r="862" spans="1:22" ht="15">
      <c r="A862" s="4">
        <v>855</v>
      </c>
      <c r="B862">
        <v>784</v>
      </c>
      <c r="C862" t="s">
        <v>2043</v>
      </c>
      <c r="D862" t="s">
        <v>640</v>
      </c>
      <c r="E862" t="s">
        <v>1180</v>
      </c>
      <c r="F862" t="s">
        <v>2044</v>
      </c>
      <c r="G862" t="str">
        <f>"00525888"</f>
        <v>00525888</v>
      </c>
      <c r="H862">
        <v>64.8</v>
      </c>
      <c r="I862">
        <v>0</v>
      </c>
      <c r="L862">
        <v>4</v>
      </c>
      <c r="M862">
        <v>4</v>
      </c>
      <c r="N862">
        <v>4</v>
      </c>
      <c r="O862">
        <v>0</v>
      </c>
      <c r="P862">
        <v>72.8</v>
      </c>
      <c r="Q862">
        <v>0</v>
      </c>
      <c r="R862">
        <v>0</v>
      </c>
      <c r="S862">
        <v>3</v>
      </c>
      <c r="T862">
        <v>0</v>
      </c>
      <c r="U862" s="1">
        <v>0</v>
      </c>
      <c r="V862">
        <v>75.8</v>
      </c>
    </row>
    <row r="863" spans="1:22" ht="15">
      <c r="A863" s="4">
        <v>856</v>
      </c>
      <c r="B863">
        <v>476</v>
      </c>
      <c r="C863" t="s">
        <v>2045</v>
      </c>
      <c r="D863" t="s">
        <v>2046</v>
      </c>
      <c r="E863" t="s">
        <v>15</v>
      </c>
      <c r="F863" t="s">
        <v>2047</v>
      </c>
      <c r="G863" t="str">
        <f>"00530800"</f>
        <v>00530800</v>
      </c>
      <c r="H863">
        <v>28.8</v>
      </c>
      <c r="I863">
        <v>10</v>
      </c>
      <c r="M863">
        <v>4</v>
      </c>
      <c r="N863">
        <v>0</v>
      </c>
      <c r="O863">
        <v>0</v>
      </c>
      <c r="P863">
        <v>42.8</v>
      </c>
      <c r="Q863">
        <v>33</v>
      </c>
      <c r="R863">
        <v>33</v>
      </c>
      <c r="S863">
        <v>0</v>
      </c>
      <c r="T863">
        <v>0</v>
      </c>
      <c r="U863" s="1">
        <v>0</v>
      </c>
      <c r="V863">
        <v>75.8</v>
      </c>
    </row>
    <row r="864" spans="1:22" ht="15">
      <c r="A864" s="4">
        <v>857</v>
      </c>
      <c r="B864">
        <v>2277</v>
      </c>
      <c r="C864" t="s">
        <v>2048</v>
      </c>
      <c r="D864" t="s">
        <v>2049</v>
      </c>
      <c r="E864" t="s">
        <v>11</v>
      </c>
      <c r="F864" t="s">
        <v>2050</v>
      </c>
      <c r="G864" t="str">
        <f>"00511079"</f>
        <v>00511079</v>
      </c>
      <c r="H864">
        <v>28.8</v>
      </c>
      <c r="I864">
        <v>10</v>
      </c>
      <c r="M864">
        <v>4</v>
      </c>
      <c r="N864">
        <v>0</v>
      </c>
      <c r="O864">
        <v>0</v>
      </c>
      <c r="P864">
        <v>42.8</v>
      </c>
      <c r="Q864">
        <v>33</v>
      </c>
      <c r="R864">
        <v>33</v>
      </c>
      <c r="S864">
        <v>0</v>
      </c>
      <c r="T864">
        <v>0</v>
      </c>
      <c r="U864" s="1">
        <v>0</v>
      </c>
      <c r="V864">
        <v>75.8</v>
      </c>
    </row>
    <row r="865" spans="1:22" ht="15">
      <c r="A865" s="4">
        <v>858</v>
      </c>
      <c r="B865">
        <v>360</v>
      </c>
      <c r="C865" t="s">
        <v>1799</v>
      </c>
      <c r="D865" t="s">
        <v>89</v>
      </c>
      <c r="E865" t="s">
        <v>23</v>
      </c>
      <c r="F865" t="s">
        <v>2051</v>
      </c>
      <c r="G865" t="str">
        <f>"00507277"</f>
        <v>00507277</v>
      </c>
      <c r="H865">
        <v>64.8</v>
      </c>
      <c r="I865">
        <v>0</v>
      </c>
      <c r="L865">
        <v>4</v>
      </c>
      <c r="M865">
        <v>4</v>
      </c>
      <c r="N865">
        <v>4</v>
      </c>
      <c r="O865">
        <v>0</v>
      </c>
      <c r="P865">
        <v>72.8</v>
      </c>
      <c r="Q865">
        <v>0</v>
      </c>
      <c r="R865">
        <v>0</v>
      </c>
      <c r="S865">
        <v>3</v>
      </c>
      <c r="T865">
        <v>0</v>
      </c>
      <c r="U865" s="1">
        <v>0</v>
      </c>
      <c r="V865">
        <v>75.8</v>
      </c>
    </row>
    <row r="866" spans="1:22" ht="15">
      <c r="A866" s="4">
        <v>859</v>
      </c>
      <c r="B866">
        <v>986</v>
      </c>
      <c r="C866" t="s">
        <v>2052</v>
      </c>
      <c r="D866" t="s">
        <v>2053</v>
      </c>
      <c r="E866" t="s">
        <v>327</v>
      </c>
      <c r="F866" t="s">
        <v>2054</v>
      </c>
      <c r="G866" t="str">
        <f>"00531153"</f>
        <v>00531153</v>
      </c>
      <c r="H866">
        <v>33.76</v>
      </c>
      <c r="I866">
        <v>0</v>
      </c>
      <c r="J866">
        <v>8</v>
      </c>
      <c r="M866">
        <v>4</v>
      </c>
      <c r="N866">
        <v>8</v>
      </c>
      <c r="O866">
        <v>0</v>
      </c>
      <c r="P866">
        <v>45.76</v>
      </c>
      <c r="Q866">
        <v>18</v>
      </c>
      <c r="R866">
        <v>18</v>
      </c>
      <c r="S866">
        <v>12</v>
      </c>
      <c r="T866">
        <v>0</v>
      </c>
      <c r="U866" s="1">
        <v>0</v>
      </c>
      <c r="V866">
        <v>75.76</v>
      </c>
    </row>
    <row r="867" spans="1:22" ht="15">
      <c r="A867" s="4">
        <v>860</v>
      </c>
      <c r="B867">
        <v>1432</v>
      </c>
      <c r="C867" t="s">
        <v>2055</v>
      </c>
      <c r="D867" t="s">
        <v>137</v>
      </c>
      <c r="E867" t="s">
        <v>2056</v>
      </c>
      <c r="F867" t="s">
        <v>2057</v>
      </c>
      <c r="G867" t="str">
        <f>"00480713"</f>
        <v>00480713</v>
      </c>
      <c r="H867">
        <v>38.68</v>
      </c>
      <c r="I867">
        <v>0</v>
      </c>
      <c r="M867">
        <v>4</v>
      </c>
      <c r="N867">
        <v>0</v>
      </c>
      <c r="O867">
        <v>0</v>
      </c>
      <c r="P867">
        <v>42.68</v>
      </c>
      <c r="Q867">
        <v>27</v>
      </c>
      <c r="R867">
        <v>27</v>
      </c>
      <c r="S867">
        <v>6</v>
      </c>
      <c r="T867">
        <v>0</v>
      </c>
      <c r="U867" s="1">
        <v>0</v>
      </c>
      <c r="V867">
        <v>75.68</v>
      </c>
    </row>
    <row r="868" spans="1:22" ht="15">
      <c r="A868" s="4">
        <v>861</v>
      </c>
      <c r="B868">
        <v>2463</v>
      </c>
      <c r="C868" t="s">
        <v>2058</v>
      </c>
      <c r="D868" t="s">
        <v>892</v>
      </c>
      <c r="E868" t="s">
        <v>514</v>
      </c>
      <c r="F868" t="s">
        <v>2059</v>
      </c>
      <c r="G868" t="str">
        <f>"00482279"</f>
        <v>00482279</v>
      </c>
      <c r="H868">
        <v>21.6</v>
      </c>
      <c r="I868">
        <v>0</v>
      </c>
      <c r="L868">
        <v>4</v>
      </c>
      <c r="M868">
        <v>4</v>
      </c>
      <c r="N868">
        <v>4</v>
      </c>
      <c r="O868">
        <v>0</v>
      </c>
      <c r="P868">
        <v>29.6</v>
      </c>
      <c r="Q868">
        <v>37</v>
      </c>
      <c r="R868">
        <v>37</v>
      </c>
      <c r="S868">
        <v>9</v>
      </c>
      <c r="T868">
        <v>0</v>
      </c>
      <c r="U868" s="1">
        <v>0</v>
      </c>
      <c r="V868">
        <v>75.6</v>
      </c>
    </row>
    <row r="869" spans="1:22" ht="15">
      <c r="A869" s="4">
        <v>862</v>
      </c>
      <c r="B869">
        <v>984</v>
      </c>
      <c r="C869" t="s">
        <v>2060</v>
      </c>
      <c r="D869" t="s">
        <v>2061</v>
      </c>
      <c r="E869" t="s">
        <v>2062</v>
      </c>
      <c r="F869" t="s">
        <v>2063</v>
      </c>
      <c r="G869" t="str">
        <f>"00225545"</f>
        <v>00225545</v>
      </c>
      <c r="H869">
        <v>57.6</v>
      </c>
      <c r="I869">
        <v>0</v>
      </c>
      <c r="L869">
        <v>4</v>
      </c>
      <c r="M869">
        <v>4</v>
      </c>
      <c r="N869">
        <v>4</v>
      </c>
      <c r="O869">
        <v>2</v>
      </c>
      <c r="P869">
        <v>67.6</v>
      </c>
      <c r="Q869">
        <v>8</v>
      </c>
      <c r="R869">
        <v>8</v>
      </c>
      <c r="S869">
        <v>0</v>
      </c>
      <c r="T869">
        <v>0</v>
      </c>
      <c r="U869" s="1">
        <v>0</v>
      </c>
      <c r="V869">
        <v>75.6</v>
      </c>
    </row>
    <row r="870" spans="1:22" ht="15">
      <c r="A870" s="4">
        <v>863</v>
      </c>
      <c r="B870">
        <v>225</v>
      </c>
      <c r="C870" t="s">
        <v>2064</v>
      </c>
      <c r="D870" t="s">
        <v>50</v>
      </c>
      <c r="E870" t="s">
        <v>90</v>
      </c>
      <c r="F870" t="s">
        <v>2065</v>
      </c>
      <c r="G870" t="str">
        <f>"00081285"</f>
        <v>00081285</v>
      </c>
      <c r="H870">
        <v>57.6</v>
      </c>
      <c r="I870">
        <v>0</v>
      </c>
      <c r="M870">
        <v>4</v>
      </c>
      <c r="N870">
        <v>0</v>
      </c>
      <c r="O870">
        <v>0</v>
      </c>
      <c r="P870">
        <v>61.6</v>
      </c>
      <c r="Q870">
        <v>8</v>
      </c>
      <c r="R870">
        <v>8</v>
      </c>
      <c r="S870">
        <v>6</v>
      </c>
      <c r="T870">
        <v>0</v>
      </c>
      <c r="U870" s="1">
        <v>0</v>
      </c>
      <c r="V870">
        <v>75.6</v>
      </c>
    </row>
    <row r="871" spans="1:22" ht="15">
      <c r="A871" s="4">
        <v>864</v>
      </c>
      <c r="B871">
        <v>12</v>
      </c>
      <c r="C871" t="s">
        <v>860</v>
      </c>
      <c r="D871" t="s">
        <v>2066</v>
      </c>
      <c r="E871" t="s">
        <v>11</v>
      </c>
      <c r="F871" t="s">
        <v>2067</v>
      </c>
      <c r="G871" t="str">
        <f>"200910000184"</f>
        <v>200910000184</v>
      </c>
      <c r="H871">
        <v>57.6</v>
      </c>
      <c r="I871">
        <v>0</v>
      </c>
      <c r="J871">
        <v>8</v>
      </c>
      <c r="K871">
        <v>6</v>
      </c>
      <c r="M871">
        <v>4</v>
      </c>
      <c r="N871">
        <v>14</v>
      </c>
      <c r="O871">
        <v>0</v>
      </c>
      <c r="P871">
        <v>75.6</v>
      </c>
      <c r="Q871">
        <v>0</v>
      </c>
      <c r="R871">
        <v>0</v>
      </c>
      <c r="S871">
        <v>0</v>
      </c>
      <c r="T871">
        <v>0</v>
      </c>
      <c r="U871" s="1">
        <v>0</v>
      </c>
      <c r="V871">
        <v>75.6</v>
      </c>
    </row>
    <row r="872" spans="1:22" ht="15">
      <c r="A872" s="4">
        <v>865</v>
      </c>
      <c r="B872">
        <v>206</v>
      </c>
      <c r="C872" t="s">
        <v>2068</v>
      </c>
      <c r="D872" t="s">
        <v>280</v>
      </c>
      <c r="E872" t="s">
        <v>19</v>
      </c>
      <c r="F872" t="s">
        <v>2069</v>
      </c>
      <c r="G872" t="str">
        <f>"00442548"</f>
        <v>00442548</v>
      </c>
      <c r="H872">
        <v>57.6</v>
      </c>
      <c r="I872">
        <v>0</v>
      </c>
      <c r="L872">
        <v>4</v>
      </c>
      <c r="M872">
        <v>4</v>
      </c>
      <c r="N872">
        <v>4</v>
      </c>
      <c r="O872">
        <v>2</v>
      </c>
      <c r="P872">
        <v>67.6</v>
      </c>
      <c r="Q872">
        <v>8</v>
      </c>
      <c r="R872">
        <v>8</v>
      </c>
      <c r="S872">
        <v>0</v>
      </c>
      <c r="T872">
        <v>0</v>
      </c>
      <c r="U872" s="1">
        <v>0</v>
      </c>
      <c r="V872">
        <v>75.6</v>
      </c>
    </row>
    <row r="873" spans="1:22" ht="15">
      <c r="A873" s="4">
        <v>866</v>
      </c>
      <c r="B873">
        <v>2533</v>
      </c>
      <c r="C873" t="s">
        <v>2070</v>
      </c>
      <c r="D873" t="s">
        <v>467</v>
      </c>
      <c r="E873" t="s">
        <v>317</v>
      </c>
      <c r="F873" t="s">
        <v>2071</v>
      </c>
      <c r="G873" t="str">
        <f>"00532361"</f>
        <v>00532361</v>
      </c>
      <c r="H873">
        <v>21.6</v>
      </c>
      <c r="I873">
        <v>10</v>
      </c>
      <c r="M873">
        <v>4</v>
      </c>
      <c r="N873">
        <v>0</v>
      </c>
      <c r="O873">
        <v>0</v>
      </c>
      <c r="P873">
        <v>35.6</v>
      </c>
      <c r="Q873">
        <v>40</v>
      </c>
      <c r="R873">
        <v>40</v>
      </c>
      <c r="S873">
        <v>0</v>
      </c>
      <c r="T873">
        <v>0</v>
      </c>
      <c r="U873" s="1">
        <v>0</v>
      </c>
      <c r="V873">
        <v>75.6</v>
      </c>
    </row>
    <row r="874" spans="1:22" ht="15">
      <c r="A874" s="4">
        <v>867</v>
      </c>
      <c r="B874">
        <v>3323</v>
      </c>
      <c r="C874" t="s">
        <v>2072</v>
      </c>
      <c r="D874" t="s">
        <v>102</v>
      </c>
      <c r="E874" t="s">
        <v>2073</v>
      </c>
      <c r="F874" t="s">
        <v>2074</v>
      </c>
      <c r="G874" t="str">
        <f>"00336088"</f>
        <v>00336088</v>
      </c>
      <c r="H874">
        <v>21.44</v>
      </c>
      <c r="I874">
        <v>10</v>
      </c>
      <c r="M874">
        <v>4</v>
      </c>
      <c r="N874">
        <v>0</v>
      </c>
      <c r="O874">
        <v>0</v>
      </c>
      <c r="P874">
        <v>35.44</v>
      </c>
      <c r="Q874">
        <v>34</v>
      </c>
      <c r="R874">
        <v>34</v>
      </c>
      <c r="S874">
        <v>6</v>
      </c>
      <c r="T874">
        <v>0</v>
      </c>
      <c r="U874" s="1">
        <v>0</v>
      </c>
      <c r="V874">
        <v>75.44</v>
      </c>
    </row>
    <row r="875" spans="1:22" ht="15">
      <c r="A875" s="4">
        <v>868</v>
      </c>
      <c r="B875">
        <v>668</v>
      </c>
      <c r="C875" t="s">
        <v>2075</v>
      </c>
      <c r="D875" t="s">
        <v>156</v>
      </c>
      <c r="E875" t="s">
        <v>59</v>
      </c>
      <c r="F875" t="s">
        <v>2076</v>
      </c>
      <c r="G875" t="str">
        <f>"00527126"</f>
        <v>00527126</v>
      </c>
      <c r="H875">
        <v>50.4</v>
      </c>
      <c r="I875">
        <v>10</v>
      </c>
      <c r="M875">
        <v>0</v>
      </c>
      <c r="N875">
        <v>0</v>
      </c>
      <c r="O875">
        <v>0</v>
      </c>
      <c r="P875">
        <v>60.4</v>
      </c>
      <c r="Q875">
        <v>15</v>
      </c>
      <c r="R875">
        <v>15</v>
      </c>
      <c r="S875">
        <v>0</v>
      </c>
      <c r="T875">
        <v>0</v>
      </c>
      <c r="U875" s="1">
        <v>0</v>
      </c>
      <c r="V875">
        <v>75.4</v>
      </c>
    </row>
    <row r="876" spans="1:22" ht="15">
      <c r="A876" s="4">
        <v>869</v>
      </c>
      <c r="B876">
        <v>3397</v>
      </c>
      <c r="C876" t="s">
        <v>2077</v>
      </c>
      <c r="D876" t="s">
        <v>30</v>
      </c>
      <c r="E876" t="s">
        <v>55</v>
      </c>
      <c r="F876" t="s">
        <v>2078</v>
      </c>
      <c r="G876" t="str">
        <f>"00524001"</f>
        <v>00524001</v>
      </c>
      <c r="H876">
        <v>50.4</v>
      </c>
      <c r="I876">
        <v>0</v>
      </c>
      <c r="L876">
        <v>4</v>
      </c>
      <c r="M876">
        <v>4</v>
      </c>
      <c r="N876">
        <v>4</v>
      </c>
      <c r="O876">
        <v>0</v>
      </c>
      <c r="P876">
        <v>58.4</v>
      </c>
      <c r="Q876">
        <v>17</v>
      </c>
      <c r="R876">
        <v>17</v>
      </c>
      <c r="S876">
        <v>0</v>
      </c>
      <c r="T876">
        <v>0</v>
      </c>
      <c r="U876" s="1">
        <v>0</v>
      </c>
      <c r="V876">
        <v>75.4</v>
      </c>
    </row>
    <row r="877" spans="1:22" ht="15">
      <c r="A877" s="4">
        <v>870</v>
      </c>
      <c r="B877">
        <v>3132</v>
      </c>
      <c r="C877" t="s">
        <v>2079</v>
      </c>
      <c r="D877" t="s">
        <v>40</v>
      </c>
      <c r="E877" t="s">
        <v>73</v>
      </c>
      <c r="F877" t="s">
        <v>2080</v>
      </c>
      <c r="G877" t="str">
        <f>"00261947"</f>
        <v>00261947</v>
      </c>
      <c r="H877">
        <v>28.28</v>
      </c>
      <c r="I877">
        <v>10</v>
      </c>
      <c r="J877">
        <v>16</v>
      </c>
      <c r="M877">
        <v>4</v>
      </c>
      <c r="N877">
        <v>16</v>
      </c>
      <c r="O877">
        <v>0</v>
      </c>
      <c r="P877">
        <v>58.28</v>
      </c>
      <c r="Q877">
        <v>8</v>
      </c>
      <c r="R877">
        <v>8</v>
      </c>
      <c r="S877">
        <v>9</v>
      </c>
      <c r="T877">
        <v>0</v>
      </c>
      <c r="U877" s="1">
        <v>0</v>
      </c>
      <c r="V877">
        <v>75.28</v>
      </c>
    </row>
    <row r="878" spans="1:22" ht="15">
      <c r="A878" s="4">
        <v>871</v>
      </c>
      <c r="B878">
        <v>2073</v>
      </c>
      <c r="C878" t="s">
        <v>2081</v>
      </c>
      <c r="D878" t="s">
        <v>266</v>
      </c>
      <c r="E878" t="s">
        <v>242</v>
      </c>
      <c r="F878" t="s">
        <v>2082</v>
      </c>
      <c r="G878" t="str">
        <f>"201509000128"</f>
        <v>201509000128</v>
      </c>
      <c r="H878">
        <v>39.2</v>
      </c>
      <c r="I878">
        <v>0</v>
      </c>
      <c r="L878">
        <v>4</v>
      </c>
      <c r="M878">
        <v>4</v>
      </c>
      <c r="N878">
        <v>4</v>
      </c>
      <c r="O878">
        <v>0</v>
      </c>
      <c r="P878">
        <v>47.2</v>
      </c>
      <c r="Q878">
        <v>22</v>
      </c>
      <c r="R878">
        <v>22</v>
      </c>
      <c r="S878">
        <v>6</v>
      </c>
      <c r="T878">
        <v>0</v>
      </c>
      <c r="U878" s="1">
        <v>0</v>
      </c>
      <c r="V878">
        <v>75.2</v>
      </c>
    </row>
    <row r="879" spans="1:22" ht="15">
      <c r="A879" s="4">
        <v>872</v>
      </c>
      <c r="B879">
        <v>54</v>
      </c>
      <c r="C879" t="s">
        <v>346</v>
      </c>
      <c r="D879" t="s">
        <v>2083</v>
      </c>
      <c r="E879" t="s">
        <v>90</v>
      </c>
      <c r="F879" t="s">
        <v>2084</v>
      </c>
      <c r="G879" t="str">
        <f>"00523692"</f>
        <v>00523692</v>
      </c>
      <c r="H879">
        <v>23.2</v>
      </c>
      <c r="I879">
        <v>0</v>
      </c>
      <c r="M879">
        <v>4</v>
      </c>
      <c r="N879">
        <v>0</v>
      </c>
      <c r="O879">
        <v>0</v>
      </c>
      <c r="P879">
        <v>27.2</v>
      </c>
      <c r="Q879">
        <v>48</v>
      </c>
      <c r="R879">
        <v>48</v>
      </c>
      <c r="S879">
        <v>0</v>
      </c>
      <c r="T879">
        <v>0</v>
      </c>
      <c r="U879" s="1">
        <v>0</v>
      </c>
      <c r="V879">
        <v>75.2</v>
      </c>
    </row>
    <row r="880" spans="1:22" ht="15">
      <c r="A880" s="4">
        <v>873</v>
      </c>
      <c r="B880">
        <v>2190</v>
      </c>
      <c r="C880" t="s">
        <v>2085</v>
      </c>
      <c r="D880" t="s">
        <v>156</v>
      </c>
      <c r="E880" t="s">
        <v>90</v>
      </c>
      <c r="F880" t="s">
        <v>2086</v>
      </c>
      <c r="G880" t="str">
        <f>"00501072"</f>
        <v>00501072</v>
      </c>
      <c r="H880">
        <v>43.2</v>
      </c>
      <c r="I880">
        <v>0</v>
      </c>
      <c r="M880">
        <v>4</v>
      </c>
      <c r="N880">
        <v>0</v>
      </c>
      <c r="O880">
        <v>2</v>
      </c>
      <c r="P880">
        <v>49.2</v>
      </c>
      <c r="Q880">
        <v>26</v>
      </c>
      <c r="R880">
        <v>26</v>
      </c>
      <c r="S880">
        <v>0</v>
      </c>
      <c r="T880">
        <v>0</v>
      </c>
      <c r="U880" s="1">
        <v>0</v>
      </c>
      <c r="V880">
        <v>75.2</v>
      </c>
    </row>
    <row r="881" spans="1:22" ht="15">
      <c r="A881" s="4">
        <v>874</v>
      </c>
      <c r="B881">
        <v>2872</v>
      </c>
      <c r="C881" t="s">
        <v>2087</v>
      </c>
      <c r="D881" t="s">
        <v>1199</v>
      </c>
      <c r="E881" t="s">
        <v>23</v>
      </c>
      <c r="F881" t="s">
        <v>2088</v>
      </c>
      <c r="G881" t="str">
        <f>"00533397"</f>
        <v>00533397</v>
      </c>
      <c r="H881">
        <v>36</v>
      </c>
      <c r="I881">
        <v>0</v>
      </c>
      <c r="M881">
        <v>4</v>
      </c>
      <c r="N881">
        <v>0</v>
      </c>
      <c r="O881">
        <v>0</v>
      </c>
      <c r="P881">
        <v>40</v>
      </c>
      <c r="Q881">
        <v>32</v>
      </c>
      <c r="R881">
        <v>32</v>
      </c>
      <c r="S881">
        <v>3</v>
      </c>
      <c r="T881">
        <v>0</v>
      </c>
      <c r="U881" s="1">
        <v>0</v>
      </c>
      <c r="V881">
        <v>75</v>
      </c>
    </row>
    <row r="882" spans="1:22" ht="15">
      <c r="A882" s="4">
        <v>875</v>
      </c>
      <c r="B882">
        <v>1943</v>
      </c>
      <c r="C882" t="s">
        <v>2089</v>
      </c>
      <c r="D882" t="s">
        <v>2090</v>
      </c>
      <c r="E882" t="s">
        <v>2091</v>
      </c>
      <c r="F882" t="s">
        <v>2092</v>
      </c>
      <c r="G882" t="str">
        <f>"00442331"</f>
        <v>00442331</v>
      </c>
      <c r="H882">
        <v>36</v>
      </c>
      <c r="I882">
        <v>0</v>
      </c>
      <c r="M882">
        <v>4</v>
      </c>
      <c r="N882">
        <v>0</v>
      </c>
      <c r="O882">
        <v>0</v>
      </c>
      <c r="P882">
        <v>40</v>
      </c>
      <c r="Q882">
        <v>35</v>
      </c>
      <c r="R882">
        <v>35</v>
      </c>
      <c r="S882">
        <v>0</v>
      </c>
      <c r="T882">
        <v>0</v>
      </c>
      <c r="U882" s="1">
        <v>0</v>
      </c>
      <c r="V882">
        <v>75</v>
      </c>
    </row>
    <row r="883" spans="1:22" ht="15">
      <c r="A883" s="4">
        <v>876</v>
      </c>
      <c r="B883">
        <v>1268</v>
      </c>
      <c r="C883" t="s">
        <v>2093</v>
      </c>
      <c r="D883" t="s">
        <v>127</v>
      </c>
      <c r="E883" t="s">
        <v>83</v>
      </c>
      <c r="F883" t="s">
        <v>2094</v>
      </c>
      <c r="G883" t="str">
        <f>"00507117"</f>
        <v>00507117</v>
      </c>
      <c r="H883">
        <v>36</v>
      </c>
      <c r="I883">
        <v>10</v>
      </c>
      <c r="L883">
        <v>4</v>
      </c>
      <c r="M883">
        <v>0</v>
      </c>
      <c r="N883">
        <v>4</v>
      </c>
      <c r="O883">
        <v>2</v>
      </c>
      <c r="P883">
        <v>52</v>
      </c>
      <c r="Q883">
        <v>23</v>
      </c>
      <c r="R883">
        <v>23</v>
      </c>
      <c r="S883">
        <v>0</v>
      </c>
      <c r="T883">
        <v>0</v>
      </c>
      <c r="U883" s="1">
        <v>0</v>
      </c>
      <c r="V883">
        <v>75</v>
      </c>
    </row>
    <row r="884" spans="1:22" ht="15">
      <c r="A884" s="4">
        <v>877</v>
      </c>
      <c r="B884">
        <v>1053</v>
      </c>
      <c r="C884" t="s">
        <v>153</v>
      </c>
      <c r="D884" t="s">
        <v>76</v>
      </c>
      <c r="E884" t="s">
        <v>1180</v>
      </c>
      <c r="F884" t="s">
        <v>2095</v>
      </c>
      <c r="G884" t="str">
        <f>"201511029348"</f>
        <v>201511029348</v>
      </c>
      <c r="H884">
        <v>64.8</v>
      </c>
      <c r="I884">
        <v>0</v>
      </c>
      <c r="L884">
        <v>4</v>
      </c>
      <c r="M884">
        <v>4</v>
      </c>
      <c r="N884">
        <v>4</v>
      </c>
      <c r="O884">
        <v>2</v>
      </c>
      <c r="P884">
        <v>74.8</v>
      </c>
      <c r="Q884">
        <v>0</v>
      </c>
      <c r="R884">
        <v>0</v>
      </c>
      <c r="S884">
        <v>0</v>
      </c>
      <c r="T884">
        <v>0</v>
      </c>
      <c r="U884" s="1">
        <v>0</v>
      </c>
      <c r="V884">
        <v>74.8</v>
      </c>
    </row>
    <row r="885" spans="1:22" ht="15">
      <c r="A885" s="4">
        <v>878</v>
      </c>
      <c r="B885">
        <v>602</v>
      </c>
      <c r="C885" t="s">
        <v>2096</v>
      </c>
      <c r="D885" t="s">
        <v>643</v>
      </c>
      <c r="E885" t="s">
        <v>30</v>
      </c>
      <c r="F885" t="s">
        <v>2097</v>
      </c>
      <c r="G885" t="str">
        <f>"00255049"</f>
        <v>00255049</v>
      </c>
      <c r="H885">
        <v>64.8</v>
      </c>
      <c r="I885">
        <v>0</v>
      </c>
      <c r="K885">
        <v>6</v>
      </c>
      <c r="M885">
        <v>4</v>
      </c>
      <c r="N885">
        <v>6</v>
      </c>
      <c r="O885">
        <v>0</v>
      </c>
      <c r="P885">
        <v>74.8</v>
      </c>
      <c r="Q885">
        <v>0</v>
      </c>
      <c r="R885">
        <v>0</v>
      </c>
      <c r="S885">
        <v>0</v>
      </c>
      <c r="T885">
        <v>0</v>
      </c>
      <c r="U885" s="1">
        <v>0</v>
      </c>
      <c r="V885">
        <v>74.8</v>
      </c>
    </row>
    <row r="886" spans="1:22" ht="15">
      <c r="A886" s="4">
        <v>879</v>
      </c>
      <c r="B886">
        <v>1714</v>
      </c>
      <c r="C886" t="s">
        <v>216</v>
      </c>
      <c r="D886" t="s">
        <v>292</v>
      </c>
      <c r="E886" t="s">
        <v>583</v>
      </c>
      <c r="F886" t="s">
        <v>2098</v>
      </c>
      <c r="G886" t="str">
        <f>"201208000139"</f>
        <v>201208000139</v>
      </c>
      <c r="H886">
        <v>64.8</v>
      </c>
      <c r="I886">
        <v>0</v>
      </c>
      <c r="M886">
        <v>4</v>
      </c>
      <c r="N886">
        <v>0</v>
      </c>
      <c r="O886">
        <v>0</v>
      </c>
      <c r="P886">
        <v>68.8</v>
      </c>
      <c r="Q886">
        <v>0</v>
      </c>
      <c r="R886">
        <v>0</v>
      </c>
      <c r="S886">
        <v>6</v>
      </c>
      <c r="T886">
        <v>0</v>
      </c>
      <c r="U886" s="1">
        <v>0</v>
      </c>
      <c r="V886">
        <v>74.8</v>
      </c>
    </row>
    <row r="887" spans="1:22" ht="15">
      <c r="A887" s="4">
        <v>880</v>
      </c>
      <c r="B887">
        <v>415</v>
      </c>
      <c r="C887" t="s">
        <v>2099</v>
      </c>
      <c r="D887" t="s">
        <v>40</v>
      </c>
      <c r="E887" t="s">
        <v>41</v>
      </c>
      <c r="F887" t="s">
        <v>2100</v>
      </c>
      <c r="G887" t="str">
        <f>"00442182"</f>
        <v>00442182</v>
      </c>
      <c r="H887">
        <v>21.6</v>
      </c>
      <c r="I887">
        <v>10</v>
      </c>
      <c r="L887">
        <v>4</v>
      </c>
      <c r="M887">
        <v>4</v>
      </c>
      <c r="N887">
        <v>4</v>
      </c>
      <c r="O887">
        <v>0</v>
      </c>
      <c r="P887">
        <v>39.6</v>
      </c>
      <c r="Q887">
        <v>26</v>
      </c>
      <c r="R887">
        <v>26</v>
      </c>
      <c r="S887">
        <v>9</v>
      </c>
      <c r="T887">
        <v>0</v>
      </c>
      <c r="U887" s="1">
        <v>0</v>
      </c>
      <c r="V887">
        <v>74.6</v>
      </c>
    </row>
    <row r="888" spans="1:22" ht="15">
      <c r="A888" s="4">
        <v>881</v>
      </c>
      <c r="B888">
        <v>2902</v>
      </c>
      <c r="C888" t="s">
        <v>2101</v>
      </c>
      <c r="D888" t="s">
        <v>2102</v>
      </c>
      <c r="E888" t="s">
        <v>2103</v>
      </c>
      <c r="F888" t="s">
        <v>2104</v>
      </c>
      <c r="G888" t="str">
        <f>"00513142"</f>
        <v>00513142</v>
      </c>
      <c r="H888">
        <v>39.6</v>
      </c>
      <c r="I888">
        <v>0</v>
      </c>
      <c r="M888">
        <v>0</v>
      </c>
      <c r="N888">
        <v>0</v>
      </c>
      <c r="O888">
        <v>2</v>
      </c>
      <c r="P888">
        <v>41.6</v>
      </c>
      <c r="Q888">
        <v>33</v>
      </c>
      <c r="R888">
        <v>33</v>
      </c>
      <c r="S888">
        <v>0</v>
      </c>
      <c r="T888">
        <v>0</v>
      </c>
      <c r="U888" s="1">
        <v>0</v>
      </c>
      <c r="V888">
        <v>74.6</v>
      </c>
    </row>
    <row r="889" spans="1:22" ht="15">
      <c r="A889" s="4">
        <v>882</v>
      </c>
      <c r="B889">
        <v>2667</v>
      </c>
      <c r="C889" t="s">
        <v>2105</v>
      </c>
      <c r="D889" t="s">
        <v>89</v>
      </c>
      <c r="E889" t="s">
        <v>2106</v>
      </c>
      <c r="F889" t="s">
        <v>2107</v>
      </c>
      <c r="G889" t="str">
        <f>"00512365"</f>
        <v>00512365</v>
      </c>
      <c r="H889">
        <v>39.56</v>
      </c>
      <c r="I889">
        <v>0</v>
      </c>
      <c r="M889">
        <v>4</v>
      </c>
      <c r="N889">
        <v>0</v>
      </c>
      <c r="O889">
        <v>2</v>
      </c>
      <c r="P889">
        <v>45.56</v>
      </c>
      <c r="Q889">
        <v>26</v>
      </c>
      <c r="R889">
        <v>26</v>
      </c>
      <c r="S889">
        <v>3</v>
      </c>
      <c r="T889">
        <v>0</v>
      </c>
      <c r="U889" s="1">
        <v>0</v>
      </c>
      <c r="V889">
        <v>74.56</v>
      </c>
    </row>
    <row r="890" spans="1:22" ht="15">
      <c r="A890" s="4">
        <v>883</v>
      </c>
      <c r="B890">
        <v>2496</v>
      </c>
      <c r="C890" t="s">
        <v>2108</v>
      </c>
      <c r="D890" t="s">
        <v>2109</v>
      </c>
      <c r="E890" t="s">
        <v>11</v>
      </c>
      <c r="F890" t="s">
        <v>2110</v>
      </c>
      <c r="G890" t="str">
        <f>"00509768"</f>
        <v>00509768</v>
      </c>
      <c r="H890">
        <v>27.48</v>
      </c>
      <c r="I890">
        <v>10</v>
      </c>
      <c r="M890">
        <v>4</v>
      </c>
      <c r="N890">
        <v>0</v>
      </c>
      <c r="O890">
        <v>0</v>
      </c>
      <c r="P890">
        <v>41.48</v>
      </c>
      <c r="Q890">
        <v>33</v>
      </c>
      <c r="R890">
        <v>33</v>
      </c>
      <c r="S890">
        <v>0</v>
      </c>
      <c r="T890">
        <v>0</v>
      </c>
      <c r="U890" s="1">
        <v>0</v>
      </c>
      <c r="V890">
        <v>74.48</v>
      </c>
    </row>
    <row r="891" spans="1:22" ht="15">
      <c r="A891" s="4">
        <v>884</v>
      </c>
      <c r="B891">
        <v>2053</v>
      </c>
      <c r="C891" t="s">
        <v>2111</v>
      </c>
      <c r="D891" t="s">
        <v>14</v>
      </c>
      <c r="E891" t="s">
        <v>712</v>
      </c>
      <c r="F891" t="s">
        <v>2112</v>
      </c>
      <c r="G891" t="str">
        <f>"00504774"</f>
        <v>00504774</v>
      </c>
      <c r="H891">
        <v>21.44</v>
      </c>
      <c r="I891">
        <v>10</v>
      </c>
      <c r="K891">
        <v>6</v>
      </c>
      <c r="M891">
        <v>4</v>
      </c>
      <c r="N891">
        <v>6</v>
      </c>
      <c r="O891">
        <v>0</v>
      </c>
      <c r="P891">
        <v>41.44</v>
      </c>
      <c r="Q891">
        <v>33</v>
      </c>
      <c r="R891">
        <v>33</v>
      </c>
      <c r="S891">
        <v>0</v>
      </c>
      <c r="T891">
        <v>0</v>
      </c>
      <c r="U891" s="1">
        <v>0</v>
      </c>
      <c r="V891">
        <v>74.44</v>
      </c>
    </row>
    <row r="892" spans="1:22" ht="15">
      <c r="A892" s="4">
        <v>885</v>
      </c>
      <c r="B892">
        <v>41</v>
      </c>
      <c r="C892" t="s">
        <v>2113</v>
      </c>
      <c r="D892" t="s">
        <v>2114</v>
      </c>
      <c r="E892" t="s">
        <v>73</v>
      </c>
      <c r="F892" t="s">
        <v>2115</v>
      </c>
      <c r="G892" t="str">
        <f>"00474045"</f>
        <v>00474045</v>
      </c>
      <c r="H892">
        <v>14.4</v>
      </c>
      <c r="I892">
        <v>10</v>
      </c>
      <c r="L892">
        <v>4</v>
      </c>
      <c r="M892">
        <v>0</v>
      </c>
      <c r="N892">
        <v>4</v>
      </c>
      <c r="O892">
        <v>0</v>
      </c>
      <c r="P892">
        <v>28.4</v>
      </c>
      <c r="Q892">
        <v>46</v>
      </c>
      <c r="R892">
        <v>46</v>
      </c>
      <c r="S892">
        <v>0</v>
      </c>
      <c r="T892">
        <v>0</v>
      </c>
      <c r="U892" s="1">
        <v>0</v>
      </c>
      <c r="V892">
        <v>74.4</v>
      </c>
    </row>
    <row r="893" spans="1:22" ht="15">
      <c r="A893" s="4">
        <v>886</v>
      </c>
      <c r="B893">
        <v>337</v>
      </c>
      <c r="C893" t="s">
        <v>780</v>
      </c>
      <c r="D893" t="s">
        <v>127</v>
      </c>
      <c r="E893" t="s">
        <v>90</v>
      </c>
      <c r="F893" t="s">
        <v>2116</v>
      </c>
      <c r="G893" t="str">
        <f>"00525349"</f>
        <v>00525349</v>
      </c>
      <c r="H893">
        <v>14.4</v>
      </c>
      <c r="I893">
        <v>10</v>
      </c>
      <c r="J893">
        <v>8</v>
      </c>
      <c r="M893">
        <v>4</v>
      </c>
      <c r="N893">
        <v>8</v>
      </c>
      <c r="O893">
        <v>0</v>
      </c>
      <c r="P893">
        <v>36.4</v>
      </c>
      <c r="Q893">
        <v>32</v>
      </c>
      <c r="R893">
        <v>32</v>
      </c>
      <c r="S893">
        <v>6</v>
      </c>
      <c r="T893">
        <v>0</v>
      </c>
      <c r="U893" s="1">
        <v>0</v>
      </c>
      <c r="V893">
        <v>74.4</v>
      </c>
    </row>
    <row r="894" spans="1:22" ht="15">
      <c r="A894" s="4">
        <v>887</v>
      </c>
      <c r="B894">
        <v>690</v>
      </c>
      <c r="C894" t="s">
        <v>2117</v>
      </c>
      <c r="D894" t="s">
        <v>14</v>
      </c>
      <c r="E894" t="s">
        <v>11</v>
      </c>
      <c r="F894" t="s">
        <v>2118</v>
      </c>
      <c r="G894" t="str">
        <f>"201511009110"</f>
        <v>201511009110</v>
      </c>
      <c r="H894">
        <v>34.28</v>
      </c>
      <c r="I894">
        <v>10</v>
      </c>
      <c r="M894">
        <v>4</v>
      </c>
      <c r="N894">
        <v>0</v>
      </c>
      <c r="O894">
        <v>0</v>
      </c>
      <c r="P894">
        <v>48.28</v>
      </c>
      <c r="Q894">
        <v>23</v>
      </c>
      <c r="R894">
        <v>23</v>
      </c>
      <c r="S894">
        <v>3</v>
      </c>
      <c r="T894">
        <v>0</v>
      </c>
      <c r="U894" s="1">
        <v>0</v>
      </c>
      <c r="V894">
        <v>74.28</v>
      </c>
    </row>
    <row r="895" spans="1:22" ht="15">
      <c r="A895" s="4">
        <v>888</v>
      </c>
      <c r="B895">
        <v>3028</v>
      </c>
      <c r="C895" t="s">
        <v>2119</v>
      </c>
      <c r="D895" t="s">
        <v>26</v>
      </c>
      <c r="E895" t="s">
        <v>1497</v>
      </c>
      <c r="F895" t="s">
        <v>2120</v>
      </c>
      <c r="G895" t="str">
        <f>"00508130"</f>
        <v>00508130</v>
      </c>
      <c r="H895">
        <v>7.2</v>
      </c>
      <c r="I895">
        <v>0</v>
      </c>
      <c r="M895">
        <v>4</v>
      </c>
      <c r="N895">
        <v>0</v>
      </c>
      <c r="O895">
        <v>0</v>
      </c>
      <c r="P895">
        <v>11.2</v>
      </c>
      <c r="Q895">
        <v>57</v>
      </c>
      <c r="R895">
        <v>57</v>
      </c>
      <c r="S895">
        <v>6</v>
      </c>
      <c r="T895">
        <v>0</v>
      </c>
      <c r="U895" s="1">
        <v>0</v>
      </c>
      <c r="V895">
        <v>74.2</v>
      </c>
    </row>
    <row r="896" spans="1:22" ht="15">
      <c r="A896" s="4">
        <v>889</v>
      </c>
      <c r="B896">
        <v>752</v>
      </c>
      <c r="C896" t="s">
        <v>2121</v>
      </c>
      <c r="D896" t="s">
        <v>14</v>
      </c>
      <c r="E896" t="s">
        <v>30</v>
      </c>
      <c r="F896" t="s">
        <v>2122</v>
      </c>
      <c r="G896" t="str">
        <f>"00441612"</f>
        <v>00441612</v>
      </c>
      <c r="H896">
        <v>43.2</v>
      </c>
      <c r="I896">
        <v>0</v>
      </c>
      <c r="M896">
        <v>4</v>
      </c>
      <c r="N896">
        <v>0</v>
      </c>
      <c r="O896">
        <v>0</v>
      </c>
      <c r="P896">
        <v>47.2</v>
      </c>
      <c r="Q896">
        <v>27</v>
      </c>
      <c r="R896">
        <v>27</v>
      </c>
      <c r="S896">
        <v>0</v>
      </c>
      <c r="T896">
        <v>0</v>
      </c>
      <c r="U896" s="1">
        <v>0</v>
      </c>
      <c r="V896">
        <v>74.2</v>
      </c>
    </row>
    <row r="897" spans="1:22" ht="15">
      <c r="A897" s="4">
        <v>890</v>
      </c>
      <c r="B897">
        <v>885</v>
      </c>
      <c r="C897" t="s">
        <v>2123</v>
      </c>
      <c r="D897" t="s">
        <v>541</v>
      </c>
      <c r="E897" t="s">
        <v>270</v>
      </c>
      <c r="F897" t="s">
        <v>2124</v>
      </c>
      <c r="G897" t="str">
        <f>"200802005429"</f>
        <v>200802005429</v>
      </c>
      <c r="H897">
        <v>37.16</v>
      </c>
      <c r="I897">
        <v>0</v>
      </c>
      <c r="L897">
        <v>4</v>
      </c>
      <c r="M897">
        <v>4</v>
      </c>
      <c r="N897">
        <v>4</v>
      </c>
      <c r="O897">
        <v>2</v>
      </c>
      <c r="P897">
        <v>47.16</v>
      </c>
      <c r="Q897">
        <v>18</v>
      </c>
      <c r="R897">
        <v>18</v>
      </c>
      <c r="S897">
        <v>9</v>
      </c>
      <c r="T897">
        <v>0</v>
      </c>
      <c r="U897" s="1">
        <v>0</v>
      </c>
      <c r="V897">
        <v>74.16</v>
      </c>
    </row>
    <row r="898" spans="1:22" ht="15">
      <c r="A898" s="4">
        <v>891</v>
      </c>
      <c r="B898">
        <v>1743</v>
      </c>
      <c r="C898" t="s">
        <v>2125</v>
      </c>
      <c r="D898" t="s">
        <v>76</v>
      </c>
      <c r="E898" t="s">
        <v>11</v>
      </c>
      <c r="F898" t="s">
        <v>2126</v>
      </c>
      <c r="G898" t="str">
        <f>"00019959"</f>
        <v>00019959</v>
      </c>
      <c r="H898">
        <v>30.12</v>
      </c>
      <c r="I898">
        <v>0</v>
      </c>
      <c r="M898">
        <v>4</v>
      </c>
      <c r="N898">
        <v>0</v>
      </c>
      <c r="O898">
        <v>0</v>
      </c>
      <c r="P898">
        <v>34.12</v>
      </c>
      <c r="Q898">
        <v>31</v>
      </c>
      <c r="R898">
        <v>31</v>
      </c>
      <c r="S898">
        <v>9</v>
      </c>
      <c r="T898">
        <v>0</v>
      </c>
      <c r="U898" s="1">
        <v>0</v>
      </c>
      <c r="V898">
        <v>74.12</v>
      </c>
    </row>
    <row r="899" spans="1:22" ht="15">
      <c r="A899" s="4">
        <v>892</v>
      </c>
      <c r="B899">
        <v>1969</v>
      </c>
      <c r="C899" t="s">
        <v>2127</v>
      </c>
      <c r="D899" t="s">
        <v>643</v>
      </c>
      <c r="E899" t="s">
        <v>59</v>
      </c>
      <c r="F899" t="s">
        <v>2128</v>
      </c>
      <c r="G899" t="str">
        <f>"201409003647"</f>
        <v>201409003647</v>
      </c>
      <c r="H899">
        <v>36</v>
      </c>
      <c r="I899">
        <v>10</v>
      </c>
      <c r="M899">
        <v>4</v>
      </c>
      <c r="N899">
        <v>0</v>
      </c>
      <c r="O899">
        <v>0</v>
      </c>
      <c r="P899">
        <v>50</v>
      </c>
      <c r="Q899">
        <v>24</v>
      </c>
      <c r="R899">
        <v>24</v>
      </c>
      <c r="S899">
        <v>0</v>
      </c>
      <c r="T899">
        <v>0</v>
      </c>
      <c r="U899" s="1">
        <v>0</v>
      </c>
      <c r="V899">
        <v>74</v>
      </c>
    </row>
    <row r="900" spans="1:22" ht="15">
      <c r="A900" s="4">
        <v>893</v>
      </c>
      <c r="B900">
        <v>3207</v>
      </c>
      <c r="C900" t="s">
        <v>2129</v>
      </c>
      <c r="D900" t="s">
        <v>26</v>
      </c>
      <c r="E900" t="s">
        <v>90</v>
      </c>
      <c r="F900" t="s">
        <v>2130</v>
      </c>
      <c r="G900" t="str">
        <f>"200801004997"</f>
        <v>200801004997</v>
      </c>
      <c r="H900">
        <v>7.2</v>
      </c>
      <c r="I900">
        <v>0</v>
      </c>
      <c r="K900">
        <v>6</v>
      </c>
      <c r="M900">
        <v>4</v>
      </c>
      <c r="N900">
        <v>6</v>
      </c>
      <c r="O900">
        <v>2</v>
      </c>
      <c r="P900">
        <v>19.2</v>
      </c>
      <c r="Q900">
        <v>25</v>
      </c>
      <c r="R900">
        <v>25</v>
      </c>
      <c r="S900">
        <v>3</v>
      </c>
      <c r="T900">
        <v>26.8</v>
      </c>
      <c r="U900" s="1">
        <v>0</v>
      </c>
      <c r="V900">
        <v>74</v>
      </c>
    </row>
    <row r="901" spans="1:22" ht="15">
      <c r="A901" s="4">
        <v>894</v>
      </c>
      <c r="B901">
        <v>1150</v>
      </c>
      <c r="C901" t="s">
        <v>1182</v>
      </c>
      <c r="D901" t="s">
        <v>82</v>
      </c>
      <c r="E901" t="s">
        <v>1741</v>
      </c>
      <c r="F901" t="s">
        <v>2131</v>
      </c>
      <c r="G901" t="str">
        <f>"00531232"</f>
        <v>00531232</v>
      </c>
      <c r="H901">
        <v>40</v>
      </c>
      <c r="I901">
        <v>10</v>
      </c>
      <c r="M901">
        <v>0</v>
      </c>
      <c r="N901">
        <v>0</v>
      </c>
      <c r="O901">
        <v>0</v>
      </c>
      <c r="P901">
        <v>50</v>
      </c>
      <c r="Q901">
        <v>24</v>
      </c>
      <c r="R901">
        <v>24</v>
      </c>
      <c r="S901">
        <v>0</v>
      </c>
      <c r="T901">
        <v>0</v>
      </c>
      <c r="U901" s="1">
        <v>0</v>
      </c>
      <c r="V901">
        <v>74</v>
      </c>
    </row>
    <row r="902" spans="1:22" ht="15">
      <c r="A902" s="4">
        <v>895</v>
      </c>
      <c r="B902">
        <v>459</v>
      </c>
      <c r="C902" t="s">
        <v>192</v>
      </c>
      <c r="D902" t="s">
        <v>179</v>
      </c>
      <c r="E902" t="s">
        <v>11</v>
      </c>
      <c r="F902" t="s">
        <v>2132</v>
      </c>
      <c r="G902" t="str">
        <f>"00162561"</f>
        <v>00162561</v>
      </c>
      <c r="H902">
        <v>34.92</v>
      </c>
      <c r="I902">
        <v>0</v>
      </c>
      <c r="M902">
        <v>4</v>
      </c>
      <c r="N902">
        <v>0</v>
      </c>
      <c r="O902">
        <v>2</v>
      </c>
      <c r="P902">
        <v>40.92</v>
      </c>
      <c r="Q902">
        <v>33</v>
      </c>
      <c r="R902">
        <v>33</v>
      </c>
      <c r="S902">
        <v>0</v>
      </c>
      <c r="T902">
        <v>0</v>
      </c>
      <c r="U902" s="1">
        <v>0</v>
      </c>
      <c r="V902">
        <v>73.92</v>
      </c>
    </row>
    <row r="903" spans="1:22" ht="15">
      <c r="A903" s="4">
        <v>896</v>
      </c>
      <c r="B903">
        <v>1340</v>
      </c>
      <c r="C903" t="s">
        <v>2133</v>
      </c>
      <c r="D903" t="s">
        <v>2134</v>
      </c>
      <c r="E903" t="s">
        <v>11</v>
      </c>
      <c r="F903" t="s">
        <v>2135</v>
      </c>
      <c r="G903" t="str">
        <f>"00530072"</f>
        <v>00530072</v>
      </c>
      <c r="H903">
        <v>64.8</v>
      </c>
      <c r="I903">
        <v>0</v>
      </c>
      <c r="M903">
        <v>0</v>
      </c>
      <c r="N903">
        <v>0</v>
      </c>
      <c r="O903">
        <v>0</v>
      </c>
      <c r="P903">
        <v>64.8</v>
      </c>
      <c r="Q903">
        <v>0</v>
      </c>
      <c r="R903">
        <v>0</v>
      </c>
      <c r="S903">
        <v>9</v>
      </c>
      <c r="T903">
        <v>0</v>
      </c>
      <c r="U903" s="1">
        <v>0</v>
      </c>
      <c r="V903">
        <v>73.8</v>
      </c>
    </row>
    <row r="904" spans="1:22" ht="15">
      <c r="A904" s="4">
        <v>897</v>
      </c>
      <c r="B904">
        <v>268</v>
      </c>
      <c r="C904" t="s">
        <v>2136</v>
      </c>
      <c r="D904" t="s">
        <v>1346</v>
      </c>
      <c r="E904" t="s">
        <v>327</v>
      </c>
      <c r="F904" t="s">
        <v>2137</v>
      </c>
      <c r="G904" t="str">
        <f>"00517715"</f>
        <v>00517715</v>
      </c>
      <c r="H904">
        <v>34</v>
      </c>
      <c r="I904">
        <v>0</v>
      </c>
      <c r="M904">
        <v>4</v>
      </c>
      <c r="N904">
        <v>0</v>
      </c>
      <c r="O904">
        <v>0</v>
      </c>
      <c r="P904">
        <v>38</v>
      </c>
      <c r="Q904">
        <v>0</v>
      </c>
      <c r="R904">
        <v>0</v>
      </c>
      <c r="S904">
        <v>9</v>
      </c>
      <c r="T904">
        <v>26.8</v>
      </c>
      <c r="U904" s="1">
        <v>0</v>
      </c>
      <c r="V904">
        <v>73.8</v>
      </c>
    </row>
    <row r="905" spans="1:22" ht="15">
      <c r="A905" s="4">
        <v>898</v>
      </c>
      <c r="B905">
        <v>1243</v>
      </c>
      <c r="C905" t="s">
        <v>2138</v>
      </c>
      <c r="D905" t="s">
        <v>14</v>
      </c>
      <c r="E905" t="s">
        <v>11</v>
      </c>
      <c r="F905" t="s">
        <v>2139</v>
      </c>
      <c r="G905" t="str">
        <f>"201406002403"</f>
        <v>201406002403</v>
      </c>
      <c r="H905">
        <v>28.8</v>
      </c>
      <c r="I905">
        <v>10</v>
      </c>
      <c r="M905">
        <v>0</v>
      </c>
      <c r="N905">
        <v>0</v>
      </c>
      <c r="O905">
        <v>0</v>
      </c>
      <c r="P905">
        <v>38.8</v>
      </c>
      <c r="Q905">
        <v>32</v>
      </c>
      <c r="R905">
        <v>32</v>
      </c>
      <c r="S905">
        <v>3</v>
      </c>
      <c r="T905">
        <v>0</v>
      </c>
      <c r="U905" s="1">
        <v>0</v>
      </c>
      <c r="V905">
        <v>73.8</v>
      </c>
    </row>
    <row r="906" spans="1:22" ht="15">
      <c r="A906" s="4">
        <v>899</v>
      </c>
      <c r="B906">
        <v>2224</v>
      </c>
      <c r="C906" t="s">
        <v>2140</v>
      </c>
      <c r="D906" t="s">
        <v>29</v>
      </c>
      <c r="E906" t="s">
        <v>30</v>
      </c>
      <c r="F906" t="s">
        <v>2141</v>
      </c>
      <c r="G906" t="str">
        <f>"201412001262"</f>
        <v>201412001262</v>
      </c>
      <c r="H906">
        <v>22.68</v>
      </c>
      <c r="I906">
        <v>0</v>
      </c>
      <c r="J906">
        <v>8</v>
      </c>
      <c r="M906">
        <v>4</v>
      </c>
      <c r="N906">
        <v>8</v>
      </c>
      <c r="O906">
        <v>0</v>
      </c>
      <c r="P906">
        <v>34.68</v>
      </c>
      <c r="Q906">
        <v>39</v>
      </c>
      <c r="R906">
        <v>39</v>
      </c>
      <c r="S906">
        <v>0</v>
      </c>
      <c r="T906">
        <v>0</v>
      </c>
      <c r="U906" s="1">
        <v>0</v>
      </c>
      <c r="V906">
        <v>73.68</v>
      </c>
    </row>
    <row r="907" spans="1:22" ht="15">
      <c r="A907" s="4">
        <v>900</v>
      </c>
      <c r="B907">
        <v>2466</v>
      </c>
      <c r="C907" t="s">
        <v>2142</v>
      </c>
      <c r="D907" t="s">
        <v>29</v>
      </c>
      <c r="E907" t="s">
        <v>30</v>
      </c>
      <c r="F907" t="s">
        <v>2143</v>
      </c>
      <c r="G907" t="str">
        <f>"201511017273"</f>
        <v>201511017273</v>
      </c>
      <c r="H907">
        <v>34.68</v>
      </c>
      <c r="I907">
        <v>0</v>
      </c>
      <c r="L907">
        <v>4</v>
      </c>
      <c r="M907">
        <v>4</v>
      </c>
      <c r="N907">
        <v>4</v>
      </c>
      <c r="O907">
        <v>0</v>
      </c>
      <c r="P907">
        <v>42.68</v>
      </c>
      <c r="Q907">
        <v>28</v>
      </c>
      <c r="R907">
        <v>28</v>
      </c>
      <c r="S907">
        <v>3</v>
      </c>
      <c r="T907">
        <v>0</v>
      </c>
      <c r="U907" s="1">
        <v>0</v>
      </c>
      <c r="V907">
        <v>73.68</v>
      </c>
    </row>
    <row r="908" spans="1:22" ht="15">
      <c r="A908" s="4">
        <v>901</v>
      </c>
      <c r="B908">
        <v>916</v>
      </c>
      <c r="C908" t="s">
        <v>2144</v>
      </c>
      <c r="D908" t="s">
        <v>892</v>
      </c>
      <c r="E908" t="s">
        <v>2145</v>
      </c>
      <c r="F908" t="s">
        <v>2146</v>
      </c>
      <c r="G908" t="str">
        <f>"00529336"</f>
        <v>00529336</v>
      </c>
      <c r="H908">
        <v>57.6</v>
      </c>
      <c r="I908">
        <v>0</v>
      </c>
      <c r="L908">
        <v>4</v>
      </c>
      <c r="M908">
        <v>4</v>
      </c>
      <c r="N908">
        <v>4</v>
      </c>
      <c r="O908">
        <v>0</v>
      </c>
      <c r="P908">
        <v>65.6</v>
      </c>
      <c r="Q908">
        <v>8</v>
      </c>
      <c r="R908">
        <v>8</v>
      </c>
      <c r="S908">
        <v>0</v>
      </c>
      <c r="T908">
        <v>0</v>
      </c>
      <c r="U908" s="1">
        <v>0</v>
      </c>
      <c r="V908">
        <v>73.6</v>
      </c>
    </row>
    <row r="909" spans="1:22" ht="15">
      <c r="A909" s="4">
        <v>902</v>
      </c>
      <c r="B909">
        <v>2625</v>
      </c>
      <c r="C909" t="s">
        <v>2147</v>
      </c>
      <c r="D909" t="s">
        <v>179</v>
      </c>
      <c r="E909" t="s">
        <v>197</v>
      </c>
      <c r="F909" t="s">
        <v>2148</v>
      </c>
      <c r="G909" t="str">
        <f>"201402002943"</f>
        <v>201402002943</v>
      </c>
      <c r="H909">
        <v>57.6</v>
      </c>
      <c r="I909">
        <v>0</v>
      </c>
      <c r="L909">
        <v>4</v>
      </c>
      <c r="M909">
        <v>4</v>
      </c>
      <c r="N909">
        <v>4</v>
      </c>
      <c r="O909">
        <v>0</v>
      </c>
      <c r="P909">
        <v>65.6</v>
      </c>
      <c r="Q909">
        <v>8</v>
      </c>
      <c r="R909">
        <v>8</v>
      </c>
      <c r="S909">
        <v>0</v>
      </c>
      <c r="T909">
        <v>0</v>
      </c>
      <c r="U909" s="1">
        <v>0</v>
      </c>
      <c r="V909">
        <v>73.6</v>
      </c>
    </row>
    <row r="910" spans="1:22" ht="15">
      <c r="A910" s="4">
        <v>903</v>
      </c>
      <c r="B910">
        <v>1471</v>
      </c>
      <c r="C910" t="s">
        <v>2149</v>
      </c>
      <c r="D910" t="s">
        <v>273</v>
      </c>
      <c r="E910" t="s">
        <v>19</v>
      </c>
      <c r="F910" t="s">
        <v>2150</v>
      </c>
      <c r="G910" t="str">
        <f>"201511029563"</f>
        <v>201511029563</v>
      </c>
      <c r="H910">
        <v>37.44</v>
      </c>
      <c r="I910">
        <v>0</v>
      </c>
      <c r="M910">
        <v>4</v>
      </c>
      <c r="N910">
        <v>0</v>
      </c>
      <c r="O910">
        <v>0</v>
      </c>
      <c r="P910">
        <v>41.44</v>
      </c>
      <c r="Q910">
        <v>32</v>
      </c>
      <c r="R910">
        <v>32</v>
      </c>
      <c r="S910">
        <v>0</v>
      </c>
      <c r="T910">
        <v>0</v>
      </c>
      <c r="U910" s="1">
        <v>0</v>
      </c>
      <c r="V910">
        <v>73.44</v>
      </c>
    </row>
    <row r="911" spans="1:22" ht="15">
      <c r="A911" s="4">
        <v>904</v>
      </c>
      <c r="B911">
        <v>3125</v>
      </c>
      <c r="C911" t="s">
        <v>2151</v>
      </c>
      <c r="D911" t="s">
        <v>173</v>
      </c>
      <c r="E911" t="s">
        <v>11</v>
      </c>
      <c r="F911" t="s">
        <v>2152</v>
      </c>
      <c r="G911" t="str">
        <f>"201511041912"</f>
        <v>201511041912</v>
      </c>
      <c r="H911">
        <v>28.36</v>
      </c>
      <c r="I911">
        <v>0</v>
      </c>
      <c r="M911">
        <v>4</v>
      </c>
      <c r="N911">
        <v>0</v>
      </c>
      <c r="O911">
        <v>0</v>
      </c>
      <c r="P911">
        <v>32.36</v>
      </c>
      <c r="Q911">
        <v>41</v>
      </c>
      <c r="R911">
        <v>41</v>
      </c>
      <c r="S911">
        <v>0</v>
      </c>
      <c r="T911">
        <v>0</v>
      </c>
      <c r="U911" s="1">
        <v>0</v>
      </c>
      <c r="V911">
        <v>73.36</v>
      </c>
    </row>
    <row r="912" spans="1:22" ht="15">
      <c r="A912" s="4">
        <v>905</v>
      </c>
      <c r="B912">
        <v>3059</v>
      </c>
      <c r="C912" t="s">
        <v>2153</v>
      </c>
      <c r="D912" t="s">
        <v>22</v>
      </c>
      <c r="E912" t="s">
        <v>19</v>
      </c>
      <c r="F912" t="s">
        <v>2154</v>
      </c>
      <c r="G912" t="str">
        <f>"00506070"</f>
        <v>00506070</v>
      </c>
      <c r="H912">
        <v>30.24</v>
      </c>
      <c r="I912">
        <v>10</v>
      </c>
      <c r="M912">
        <v>4</v>
      </c>
      <c r="N912">
        <v>0</v>
      </c>
      <c r="O912">
        <v>2</v>
      </c>
      <c r="P912">
        <v>46.24</v>
      </c>
      <c r="Q912">
        <v>27</v>
      </c>
      <c r="R912">
        <v>27</v>
      </c>
      <c r="S912">
        <v>0</v>
      </c>
      <c r="T912">
        <v>0</v>
      </c>
      <c r="U912" s="1">
        <v>0</v>
      </c>
      <c r="V912">
        <v>73.24</v>
      </c>
    </row>
    <row r="913" spans="1:22" ht="15">
      <c r="A913" s="4">
        <v>906</v>
      </c>
      <c r="B913">
        <v>2810</v>
      </c>
      <c r="C913" t="s">
        <v>2155</v>
      </c>
      <c r="D913" t="s">
        <v>14</v>
      </c>
      <c r="E913" t="s">
        <v>83</v>
      </c>
      <c r="F913" t="s">
        <v>2156</v>
      </c>
      <c r="G913" t="str">
        <f>"00480146"</f>
        <v>00480146</v>
      </c>
      <c r="H913">
        <v>38.24</v>
      </c>
      <c r="I913">
        <v>0</v>
      </c>
      <c r="L913">
        <v>4</v>
      </c>
      <c r="M913">
        <v>4</v>
      </c>
      <c r="N913">
        <v>4</v>
      </c>
      <c r="O913">
        <v>0</v>
      </c>
      <c r="P913">
        <v>46.24</v>
      </c>
      <c r="Q913">
        <v>24</v>
      </c>
      <c r="R913">
        <v>24</v>
      </c>
      <c r="S913">
        <v>3</v>
      </c>
      <c r="T913">
        <v>0</v>
      </c>
      <c r="U913" s="1">
        <v>0</v>
      </c>
      <c r="V913">
        <v>73.24</v>
      </c>
    </row>
    <row r="914" spans="1:22" ht="15">
      <c r="A914" s="4">
        <v>907</v>
      </c>
      <c r="B914">
        <v>766</v>
      </c>
      <c r="C914" t="s">
        <v>2157</v>
      </c>
      <c r="D914" t="s">
        <v>1346</v>
      </c>
      <c r="E914" t="s">
        <v>11</v>
      </c>
      <c r="F914" t="s">
        <v>2158</v>
      </c>
      <c r="G914" t="str">
        <f>"201511004922"</f>
        <v>201511004922</v>
      </c>
      <c r="H914">
        <v>7.2</v>
      </c>
      <c r="I914">
        <v>0</v>
      </c>
      <c r="K914">
        <v>6</v>
      </c>
      <c r="M914">
        <v>4</v>
      </c>
      <c r="N914">
        <v>6</v>
      </c>
      <c r="O914">
        <v>0</v>
      </c>
      <c r="P914">
        <v>17.2</v>
      </c>
      <c r="Q914">
        <v>14</v>
      </c>
      <c r="R914">
        <v>14</v>
      </c>
      <c r="S914">
        <v>6</v>
      </c>
      <c r="T914">
        <v>36</v>
      </c>
      <c r="U914" s="1">
        <v>0</v>
      </c>
      <c r="V914">
        <v>73.2</v>
      </c>
    </row>
    <row r="915" spans="1:22" ht="15">
      <c r="A915" s="4">
        <v>908</v>
      </c>
      <c r="B915">
        <v>1311</v>
      </c>
      <c r="C915" t="s">
        <v>2159</v>
      </c>
      <c r="D915" t="s">
        <v>14</v>
      </c>
      <c r="E915" t="s">
        <v>55</v>
      </c>
      <c r="F915" t="s">
        <v>2160</v>
      </c>
      <c r="G915" t="str">
        <f>"00519586"</f>
        <v>00519586</v>
      </c>
      <c r="H915">
        <v>7.2</v>
      </c>
      <c r="I915">
        <v>0</v>
      </c>
      <c r="J915">
        <v>8</v>
      </c>
      <c r="M915">
        <v>4</v>
      </c>
      <c r="N915">
        <v>8</v>
      </c>
      <c r="O915">
        <v>0</v>
      </c>
      <c r="P915">
        <v>19.2</v>
      </c>
      <c r="Q915">
        <v>48</v>
      </c>
      <c r="R915">
        <v>48</v>
      </c>
      <c r="S915">
        <v>6</v>
      </c>
      <c r="T915">
        <v>0</v>
      </c>
      <c r="U915" s="1">
        <v>0</v>
      </c>
      <c r="V915">
        <v>73.2</v>
      </c>
    </row>
    <row r="916" spans="1:22" ht="15">
      <c r="A916" s="4">
        <v>909</v>
      </c>
      <c r="B916">
        <v>1941</v>
      </c>
      <c r="C916" t="s">
        <v>2161</v>
      </c>
      <c r="D916" t="s">
        <v>156</v>
      </c>
      <c r="E916" t="s">
        <v>83</v>
      </c>
      <c r="F916" t="s">
        <v>2162</v>
      </c>
      <c r="G916" t="str">
        <f>"00509357"</f>
        <v>00509357</v>
      </c>
      <c r="H916">
        <v>43.2</v>
      </c>
      <c r="I916">
        <v>0</v>
      </c>
      <c r="L916">
        <v>4</v>
      </c>
      <c r="M916">
        <v>0</v>
      </c>
      <c r="N916">
        <v>4</v>
      </c>
      <c r="O916">
        <v>0</v>
      </c>
      <c r="P916">
        <v>47.2</v>
      </c>
      <c r="Q916">
        <v>26</v>
      </c>
      <c r="R916">
        <v>26</v>
      </c>
      <c r="S916">
        <v>0</v>
      </c>
      <c r="T916">
        <v>0</v>
      </c>
      <c r="U916" s="1">
        <v>0</v>
      </c>
      <c r="V916">
        <v>73.2</v>
      </c>
    </row>
    <row r="917" spans="1:22" ht="15">
      <c r="A917" s="4">
        <v>910</v>
      </c>
      <c r="B917">
        <v>2155</v>
      </c>
      <c r="C917" t="s">
        <v>196</v>
      </c>
      <c r="D917" t="s">
        <v>2005</v>
      </c>
      <c r="E917" t="s">
        <v>90</v>
      </c>
      <c r="F917" t="s">
        <v>2163</v>
      </c>
      <c r="G917" t="str">
        <f>"00514504"</f>
        <v>00514504</v>
      </c>
      <c r="H917">
        <v>22</v>
      </c>
      <c r="I917">
        <v>0</v>
      </c>
      <c r="M917">
        <v>0</v>
      </c>
      <c r="N917">
        <v>0</v>
      </c>
      <c r="O917">
        <v>0</v>
      </c>
      <c r="P917">
        <v>22</v>
      </c>
      <c r="Q917">
        <v>51</v>
      </c>
      <c r="R917">
        <v>51</v>
      </c>
      <c r="S917">
        <v>0</v>
      </c>
      <c r="T917">
        <v>0</v>
      </c>
      <c r="U917" s="1">
        <v>0</v>
      </c>
      <c r="V917">
        <v>73</v>
      </c>
    </row>
    <row r="918" spans="1:22" ht="15">
      <c r="A918" s="4">
        <v>911</v>
      </c>
      <c r="B918">
        <v>3175</v>
      </c>
      <c r="C918" t="s">
        <v>2164</v>
      </c>
      <c r="D918" t="s">
        <v>2165</v>
      </c>
      <c r="E918" t="s">
        <v>2166</v>
      </c>
      <c r="F918" t="s">
        <v>2167</v>
      </c>
      <c r="G918" t="str">
        <f>"00003204"</f>
        <v>00003204</v>
      </c>
      <c r="H918">
        <v>36</v>
      </c>
      <c r="I918">
        <v>0</v>
      </c>
      <c r="M918">
        <v>4</v>
      </c>
      <c r="N918">
        <v>0</v>
      </c>
      <c r="O918">
        <v>0</v>
      </c>
      <c r="P918">
        <v>40</v>
      </c>
      <c r="Q918">
        <v>27</v>
      </c>
      <c r="R918">
        <v>27</v>
      </c>
      <c r="S918">
        <v>6</v>
      </c>
      <c r="T918">
        <v>0</v>
      </c>
      <c r="U918" s="1">
        <v>0</v>
      </c>
      <c r="V918">
        <v>73</v>
      </c>
    </row>
    <row r="919" spans="1:22" ht="15">
      <c r="A919" s="4">
        <v>912</v>
      </c>
      <c r="B919">
        <v>1599</v>
      </c>
      <c r="C919" t="s">
        <v>1476</v>
      </c>
      <c r="D919" t="s">
        <v>211</v>
      </c>
      <c r="E919" t="s">
        <v>59</v>
      </c>
      <c r="F919" t="s">
        <v>2168</v>
      </c>
      <c r="G919" t="str">
        <f>"00442222"</f>
        <v>00442222</v>
      </c>
      <c r="H919">
        <v>36</v>
      </c>
      <c r="I919">
        <v>0</v>
      </c>
      <c r="M919">
        <v>4</v>
      </c>
      <c r="N919">
        <v>0</v>
      </c>
      <c r="O919">
        <v>0</v>
      </c>
      <c r="P919">
        <v>40</v>
      </c>
      <c r="Q919">
        <v>33</v>
      </c>
      <c r="R919">
        <v>33</v>
      </c>
      <c r="S919">
        <v>0</v>
      </c>
      <c r="T919">
        <v>0</v>
      </c>
      <c r="U919" s="1">
        <v>0</v>
      </c>
      <c r="V919">
        <v>73</v>
      </c>
    </row>
    <row r="920" spans="1:22" ht="15">
      <c r="A920" s="4">
        <v>913</v>
      </c>
      <c r="B920">
        <v>391</v>
      </c>
      <c r="C920" t="s">
        <v>2169</v>
      </c>
      <c r="D920" t="s">
        <v>280</v>
      </c>
      <c r="E920" t="s">
        <v>972</v>
      </c>
      <c r="F920" t="s">
        <v>2170</v>
      </c>
      <c r="G920" t="str">
        <f>"00510164"</f>
        <v>00510164</v>
      </c>
      <c r="H920">
        <v>38.92</v>
      </c>
      <c r="I920">
        <v>0</v>
      </c>
      <c r="M920">
        <v>4</v>
      </c>
      <c r="N920">
        <v>0</v>
      </c>
      <c r="O920">
        <v>0</v>
      </c>
      <c r="P920">
        <v>42.92</v>
      </c>
      <c r="Q920">
        <v>24</v>
      </c>
      <c r="R920">
        <v>24</v>
      </c>
      <c r="S920">
        <v>6</v>
      </c>
      <c r="T920">
        <v>0</v>
      </c>
      <c r="U920" s="1">
        <v>0</v>
      </c>
      <c r="V920">
        <v>72.92</v>
      </c>
    </row>
    <row r="921" spans="1:22" ht="15">
      <c r="A921" s="4">
        <v>914</v>
      </c>
      <c r="B921">
        <v>1731</v>
      </c>
      <c r="C921" t="s">
        <v>2171</v>
      </c>
      <c r="D921" t="s">
        <v>23</v>
      </c>
      <c r="E921" t="s">
        <v>11</v>
      </c>
      <c r="F921" t="s">
        <v>2172</v>
      </c>
      <c r="G921" t="str">
        <f>"00078013"</f>
        <v>00078013</v>
      </c>
      <c r="H921">
        <v>38.92</v>
      </c>
      <c r="I921">
        <v>0</v>
      </c>
      <c r="L921">
        <v>8</v>
      </c>
      <c r="M921">
        <v>4</v>
      </c>
      <c r="N921">
        <v>8</v>
      </c>
      <c r="O921">
        <v>0</v>
      </c>
      <c r="P921">
        <v>50.92</v>
      </c>
      <c r="Q921">
        <v>22</v>
      </c>
      <c r="R921">
        <v>22</v>
      </c>
      <c r="S921">
        <v>0</v>
      </c>
      <c r="T921">
        <v>0</v>
      </c>
      <c r="U921" s="1">
        <v>0</v>
      </c>
      <c r="V921">
        <v>72.92</v>
      </c>
    </row>
    <row r="922" spans="1:22" ht="15">
      <c r="A922" s="4">
        <v>915</v>
      </c>
      <c r="B922">
        <v>2275</v>
      </c>
      <c r="C922" t="s">
        <v>2173</v>
      </c>
      <c r="D922" t="s">
        <v>723</v>
      </c>
      <c r="E922" t="s">
        <v>134</v>
      </c>
      <c r="F922" t="s">
        <v>2174</v>
      </c>
      <c r="G922" t="str">
        <f>"00534047"</f>
        <v>00534047</v>
      </c>
      <c r="H922">
        <v>24.92</v>
      </c>
      <c r="I922">
        <v>10</v>
      </c>
      <c r="M922">
        <v>4</v>
      </c>
      <c r="N922">
        <v>0</v>
      </c>
      <c r="O922">
        <v>2</v>
      </c>
      <c r="P922">
        <v>40.92</v>
      </c>
      <c r="Q922">
        <v>32</v>
      </c>
      <c r="R922">
        <v>32</v>
      </c>
      <c r="S922">
        <v>0</v>
      </c>
      <c r="T922">
        <v>0</v>
      </c>
      <c r="U922" s="1">
        <v>0</v>
      </c>
      <c r="V922">
        <v>72.92</v>
      </c>
    </row>
    <row r="923" spans="1:22" ht="15">
      <c r="A923" s="4">
        <v>916</v>
      </c>
      <c r="B923">
        <v>1635</v>
      </c>
      <c r="C923" t="s">
        <v>96</v>
      </c>
      <c r="D923" t="s">
        <v>1718</v>
      </c>
      <c r="E923" t="s">
        <v>23</v>
      </c>
      <c r="F923" t="s">
        <v>2175</v>
      </c>
      <c r="G923" t="str">
        <f>"00194144"</f>
        <v>00194144</v>
      </c>
      <c r="H923">
        <v>64.8</v>
      </c>
      <c r="I923">
        <v>0</v>
      </c>
      <c r="M923">
        <v>0</v>
      </c>
      <c r="N923">
        <v>0</v>
      </c>
      <c r="O923">
        <v>0</v>
      </c>
      <c r="P923">
        <v>64.8</v>
      </c>
      <c r="Q923">
        <v>8</v>
      </c>
      <c r="R923">
        <v>8</v>
      </c>
      <c r="S923">
        <v>0</v>
      </c>
      <c r="T923">
        <v>0</v>
      </c>
      <c r="U923" s="1">
        <v>0</v>
      </c>
      <c r="V923">
        <v>72.8</v>
      </c>
    </row>
    <row r="924" spans="1:22" ht="15">
      <c r="A924" s="4">
        <v>917</v>
      </c>
      <c r="B924">
        <v>2946</v>
      </c>
      <c r="C924" t="s">
        <v>2176</v>
      </c>
      <c r="D924" t="s">
        <v>127</v>
      </c>
      <c r="E924" t="s">
        <v>344</v>
      </c>
      <c r="F924" t="s">
        <v>2177</v>
      </c>
      <c r="G924" t="str">
        <f>"00092798"</f>
        <v>00092798</v>
      </c>
      <c r="H924">
        <v>64.8</v>
      </c>
      <c r="I924">
        <v>0</v>
      </c>
      <c r="L924">
        <v>4</v>
      </c>
      <c r="M924">
        <v>4</v>
      </c>
      <c r="N924">
        <v>4</v>
      </c>
      <c r="O924">
        <v>0</v>
      </c>
      <c r="P924">
        <v>72.8</v>
      </c>
      <c r="Q924">
        <v>0</v>
      </c>
      <c r="R924">
        <v>0</v>
      </c>
      <c r="S924">
        <v>0</v>
      </c>
      <c r="T924">
        <v>0</v>
      </c>
      <c r="U924" s="1">
        <v>0</v>
      </c>
      <c r="V924">
        <v>72.8</v>
      </c>
    </row>
    <row r="925" spans="1:22" ht="15">
      <c r="A925" s="4">
        <v>918</v>
      </c>
      <c r="B925">
        <v>1259</v>
      </c>
      <c r="C925" t="s">
        <v>2178</v>
      </c>
      <c r="D925" t="s">
        <v>1180</v>
      </c>
      <c r="E925" t="s">
        <v>30</v>
      </c>
      <c r="F925" t="s">
        <v>2179</v>
      </c>
      <c r="G925" t="str">
        <f>"200712003167"</f>
        <v>200712003167</v>
      </c>
      <c r="H925">
        <v>28.8</v>
      </c>
      <c r="I925">
        <v>0</v>
      </c>
      <c r="K925">
        <v>6</v>
      </c>
      <c r="M925">
        <v>4</v>
      </c>
      <c r="N925">
        <v>6</v>
      </c>
      <c r="O925">
        <v>2</v>
      </c>
      <c r="P925">
        <v>40.8</v>
      </c>
      <c r="Q925">
        <v>32</v>
      </c>
      <c r="R925">
        <v>32</v>
      </c>
      <c r="S925">
        <v>0</v>
      </c>
      <c r="T925">
        <v>0</v>
      </c>
      <c r="U925" s="1">
        <v>0</v>
      </c>
      <c r="V925">
        <v>72.8</v>
      </c>
    </row>
    <row r="926" spans="1:22" ht="15">
      <c r="A926" s="4">
        <v>919</v>
      </c>
      <c r="B926">
        <v>1377</v>
      </c>
      <c r="C926" t="s">
        <v>2180</v>
      </c>
      <c r="D926" t="s">
        <v>76</v>
      </c>
      <c r="E926" t="s">
        <v>2181</v>
      </c>
      <c r="F926" t="s">
        <v>2182</v>
      </c>
      <c r="G926" t="str">
        <f>"201511014335"</f>
        <v>201511014335</v>
      </c>
      <c r="H926">
        <v>28.8</v>
      </c>
      <c r="I926">
        <v>0</v>
      </c>
      <c r="J926">
        <v>8</v>
      </c>
      <c r="K926">
        <v>6</v>
      </c>
      <c r="M926">
        <v>4</v>
      </c>
      <c r="N926">
        <v>14</v>
      </c>
      <c r="O926">
        <v>0</v>
      </c>
      <c r="P926">
        <v>46.8</v>
      </c>
      <c r="Q926">
        <v>26</v>
      </c>
      <c r="R926">
        <v>26</v>
      </c>
      <c r="S926">
        <v>0</v>
      </c>
      <c r="T926">
        <v>0</v>
      </c>
      <c r="U926" s="1">
        <v>0</v>
      </c>
      <c r="V926">
        <v>72.8</v>
      </c>
    </row>
    <row r="927" spans="1:22" ht="15">
      <c r="A927" s="4">
        <v>920</v>
      </c>
      <c r="B927">
        <v>2166</v>
      </c>
      <c r="C927" t="s">
        <v>2183</v>
      </c>
      <c r="D927" t="s">
        <v>14</v>
      </c>
      <c r="E927" t="s">
        <v>15</v>
      </c>
      <c r="F927" t="s">
        <v>2184</v>
      </c>
      <c r="G927" t="str">
        <f>"00530184"</f>
        <v>00530184</v>
      </c>
      <c r="H927">
        <v>28.8</v>
      </c>
      <c r="I927">
        <v>0</v>
      </c>
      <c r="J927">
        <v>8</v>
      </c>
      <c r="M927">
        <v>4</v>
      </c>
      <c r="N927">
        <v>8</v>
      </c>
      <c r="O927">
        <v>0</v>
      </c>
      <c r="P927">
        <v>40.8</v>
      </c>
      <c r="Q927">
        <v>32</v>
      </c>
      <c r="R927">
        <v>32</v>
      </c>
      <c r="S927">
        <v>0</v>
      </c>
      <c r="T927">
        <v>0</v>
      </c>
      <c r="U927" s="1">
        <v>0</v>
      </c>
      <c r="V927">
        <v>72.8</v>
      </c>
    </row>
    <row r="928" spans="1:22" ht="15">
      <c r="A928" s="4">
        <v>921</v>
      </c>
      <c r="B928">
        <v>3233</v>
      </c>
      <c r="C928" t="s">
        <v>2185</v>
      </c>
      <c r="D928" t="s">
        <v>2186</v>
      </c>
      <c r="E928" t="s">
        <v>2187</v>
      </c>
      <c r="F928" t="s">
        <v>2188</v>
      </c>
      <c r="G928" t="str">
        <f>"00531523"</f>
        <v>00531523</v>
      </c>
      <c r="H928">
        <v>28.8</v>
      </c>
      <c r="I928">
        <v>0</v>
      </c>
      <c r="J928">
        <v>8</v>
      </c>
      <c r="M928">
        <v>4</v>
      </c>
      <c r="N928">
        <v>8</v>
      </c>
      <c r="O928">
        <v>0</v>
      </c>
      <c r="P928">
        <v>40.8</v>
      </c>
      <c r="Q928">
        <v>32</v>
      </c>
      <c r="R928">
        <v>32</v>
      </c>
      <c r="S928">
        <v>0</v>
      </c>
      <c r="T928">
        <v>0</v>
      </c>
      <c r="U928" s="1">
        <v>0</v>
      </c>
      <c r="V928">
        <v>72.8</v>
      </c>
    </row>
    <row r="929" spans="1:22" ht="15">
      <c r="A929" s="4">
        <v>922</v>
      </c>
      <c r="B929">
        <v>1963</v>
      </c>
      <c r="C929" t="s">
        <v>2189</v>
      </c>
      <c r="D929" t="s">
        <v>692</v>
      </c>
      <c r="E929" t="s">
        <v>11</v>
      </c>
      <c r="F929" t="s">
        <v>2190</v>
      </c>
      <c r="G929" t="str">
        <f>"00531003"</f>
        <v>00531003</v>
      </c>
      <c r="H929">
        <v>26.68</v>
      </c>
      <c r="I929">
        <v>0</v>
      </c>
      <c r="M929">
        <v>4</v>
      </c>
      <c r="N929">
        <v>0</v>
      </c>
      <c r="O929">
        <v>0</v>
      </c>
      <c r="P929">
        <v>30.68</v>
      </c>
      <c r="Q929">
        <v>33</v>
      </c>
      <c r="R929">
        <v>33</v>
      </c>
      <c r="S929">
        <v>9</v>
      </c>
      <c r="T929">
        <v>0</v>
      </c>
      <c r="U929" s="1">
        <v>0</v>
      </c>
      <c r="V929">
        <v>72.68</v>
      </c>
    </row>
    <row r="930" spans="1:22" ht="15">
      <c r="A930" s="4">
        <v>923</v>
      </c>
      <c r="B930">
        <v>2263</v>
      </c>
      <c r="C930" t="s">
        <v>718</v>
      </c>
      <c r="D930" t="s">
        <v>68</v>
      </c>
      <c r="E930" t="s">
        <v>51</v>
      </c>
      <c r="F930" t="s">
        <v>2191</v>
      </c>
      <c r="G930" t="str">
        <f>"00530962"</f>
        <v>00530962</v>
      </c>
      <c r="H930">
        <v>57.6</v>
      </c>
      <c r="I930">
        <v>0</v>
      </c>
      <c r="J930">
        <v>8</v>
      </c>
      <c r="M930">
        <v>4</v>
      </c>
      <c r="N930">
        <v>8</v>
      </c>
      <c r="O930">
        <v>0</v>
      </c>
      <c r="P930">
        <v>69.6</v>
      </c>
      <c r="Q930">
        <v>0</v>
      </c>
      <c r="R930">
        <v>0</v>
      </c>
      <c r="S930">
        <v>3</v>
      </c>
      <c r="T930">
        <v>0</v>
      </c>
      <c r="U930" s="1">
        <v>0</v>
      </c>
      <c r="V930">
        <v>72.6</v>
      </c>
    </row>
    <row r="931" spans="1:22" ht="15">
      <c r="A931" s="4">
        <v>924</v>
      </c>
      <c r="B931">
        <v>2061</v>
      </c>
      <c r="C931" t="s">
        <v>2192</v>
      </c>
      <c r="D931" t="s">
        <v>2193</v>
      </c>
      <c r="E931" t="s">
        <v>23</v>
      </c>
      <c r="F931" t="s">
        <v>2194</v>
      </c>
      <c r="G931" t="str">
        <f>"00093702"</f>
        <v>00093702</v>
      </c>
      <c r="H931">
        <v>39.6</v>
      </c>
      <c r="I931">
        <v>10</v>
      </c>
      <c r="M931">
        <v>4</v>
      </c>
      <c r="N931">
        <v>0</v>
      </c>
      <c r="O931">
        <v>0</v>
      </c>
      <c r="P931">
        <v>53.6</v>
      </c>
      <c r="Q931">
        <v>13</v>
      </c>
      <c r="R931">
        <v>13</v>
      </c>
      <c r="S931">
        <v>6</v>
      </c>
      <c r="T931">
        <v>0</v>
      </c>
      <c r="U931" s="1">
        <v>0</v>
      </c>
      <c r="V931">
        <v>72.6</v>
      </c>
    </row>
    <row r="932" spans="1:22" ht="15">
      <c r="A932" s="4">
        <v>925</v>
      </c>
      <c r="B932">
        <v>667</v>
      </c>
      <c r="C932" t="s">
        <v>2195</v>
      </c>
      <c r="D932" t="s">
        <v>945</v>
      </c>
      <c r="E932" t="s">
        <v>2196</v>
      </c>
      <c r="F932" t="s">
        <v>2197</v>
      </c>
      <c r="G932" t="str">
        <f>"00503015"</f>
        <v>00503015</v>
      </c>
      <c r="H932">
        <v>21.6</v>
      </c>
      <c r="I932">
        <v>0</v>
      </c>
      <c r="M932">
        <v>4</v>
      </c>
      <c r="N932">
        <v>0</v>
      </c>
      <c r="O932">
        <v>0</v>
      </c>
      <c r="P932">
        <v>25.6</v>
      </c>
      <c r="Q932">
        <v>41</v>
      </c>
      <c r="R932">
        <v>41</v>
      </c>
      <c r="S932">
        <v>6</v>
      </c>
      <c r="T932">
        <v>0</v>
      </c>
      <c r="U932" s="1">
        <v>0</v>
      </c>
      <c r="V932">
        <v>72.6</v>
      </c>
    </row>
    <row r="933" spans="1:22" ht="15">
      <c r="A933" s="4">
        <v>926</v>
      </c>
      <c r="B933">
        <v>1315</v>
      </c>
      <c r="C933" t="s">
        <v>2198</v>
      </c>
      <c r="D933" t="s">
        <v>130</v>
      </c>
      <c r="E933" t="s">
        <v>447</v>
      </c>
      <c r="F933" t="s">
        <v>2199</v>
      </c>
      <c r="G933" t="str">
        <f>"00480158"</f>
        <v>00480158</v>
      </c>
      <c r="H933">
        <v>29.6</v>
      </c>
      <c r="I933">
        <v>0</v>
      </c>
      <c r="L933">
        <v>4</v>
      </c>
      <c r="M933">
        <v>0</v>
      </c>
      <c r="N933">
        <v>4</v>
      </c>
      <c r="O933">
        <v>0</v>
      </c>
      <c r="P933">
        <v>33.6</v>
      </c>
      <c r="Q933">
        <v>33</v>
      </c>
      <c r="R933">
        <v>33</v>
      </c>
      <c r="S933">
        <v>6</v>
      </c>
      <c r="T933">
        <v>0</v>
      </c>
      <c r="U933" s="1">
        <v>0</v>
      </c>
      <c r="V933">
        <v>72.6</v>
      </c>
    </row>
    <row r="934" spans="1:22" ht="15">
      <c r="A934" s="4">
        <v>927</v>
      </c>
      <c r="B934">
        <v>2581</v>
      </c>
      <c r="C934" t="s">
        <v>2200</v>
      </c>
      <c r="D934" t="s">
        <v>89</v>
      </c>
      <c r="E934" t="s">
        <v>909</v>
      </c>
      <c r="F934" t="s">
        <v>2201</v>
      </c>
      <c r="G934" t="str">
        <f>"00500578"</f>
        <v>00500578</v>
      </c>
      <c r="H934">
        <v>31.56</v>
      </c>
      <c r="I934">
        <v>0</v>
      </c>
      <c r="M934">
        <v>0</v>
      </c>
      <c r="N934">
        <v>0</v>
      </c>
      <c r="O934">
        <v>0</v>
      </c>
      <c r="P934">
        <v>31.56</v>
      </c>
      <c r="Q934">
        <v>41</v>
      </c>
      <c r="R934">
        <v>41</v>
      </c>
      <c r="S934">
        <v>0</v>
      </c>
      <c r="T934">
        <v>0</v>
      </c>
      <c r="U934" s="1">
        <v>0</v>
      </c>
      <c r="V934">
        <v>72.56</v>
      </c>
    </row>
    <row r="935" spans="1:22" ht="15">
      <c r="A935" s="4">
        <v>928</v>
      </c>
      <c r="B935">
        <v>1270</v>
      </c>
      <c r="C935" t="s">
        <v>2202</v>
      </c>
      <c r="D935" t="s">
        <v>2203</v>
      </c>
      <c r="E935" t="s">
        <v>19</v>
      </c>
      <c r="F935" t="s">
        <v>2204</v>
      </c>
      <c r="G935" t="str">
        <f>"00152756"</f>
        <v>00152756</v>
      </c>
      <c r="H935">
        <v>50.4</v>
      </c>
      <c r="I935">
        <v>0</v>
      </c>
      <c r="M935">
        <v>4</v>
      </c>
      <c r="N935">
        <v>0</v>
      </c>
      <c r="O935">
        <v>0</v>
      </c>
      <c r="P935">
        <v>54.4</v>
      </c>
      <c r="Q935">
        <v>18</v>
      </c>
      <c r="R935">
        <v>18</v>
      </c>
      <c r="S935">
        <v>0</v>
      </c>
      <c r="T935">
        <v>0</v>
      </c>
      <c r="U935" s="1">
        <v>0</v>
      </c>
      <c r="V935">
        <v>72.4</v>
      </c>
    </row>
    <row r="936" spans="1:22" ht="15">
      <c r="A936" s="4">
        <v>929</v>
      </c>
      <c r="B936">
        <v>1051</v>
      </c>
      <c r="C936" t="s">
        <v>2205</v>
      </c>
      <c r="D936" t="s">
        <v>2206</v>
      </c>
      <c r="E936" t="s">
        <v>112</v>
      </c>
      <c r="F936" t="s">
        <v>2207</v>
      </c>
      <c r="G936" t="str">
        <f>"00514887"</f>
        <v>00514887</v>
      </c>
      <c r="H936">
        <v>50.4</v>
      </c>
      <c r="I936">
        <v>0</v>
      </c>
      <c r="M936">
        <v>4</v>
      </c>
      <c r="N936">
        <v>0</v>
      </c>
      <c r="O936">
        <v>0</v>
      </c>
      <c r="P936">
        <v>54.4</v>
      </c>
      <c r="Q936">
        <v>18</v>
      </c>
      <c r="R936">
        <v>18</v>
      </c>
      <c r="S936">
        <v>0</v>
      </c>
      <c r="T936">
        <v>0</v>
      </c>
      <c r="U936" s="1">
        <v>0</v>
      </c>
      <c r="V936">
        <v>72.4</v>
      </c>
    </row>
    <row r="937" spans="1:22" ht="15">
      <c r="A937" s="4">
        <v>930</v>
      </c>
      <c r="B937">
        <v>1615</v>
      </c>
      <c r="C937" t="s">
        <v>2208</v>
      </c>
      <c r="D937" t="s">
        <v>14</v>
      </c>
      <c r="E937" t="s">
        <v>2209</v>
      </c>
      <c r="F937" t="s">
        <v>2210</v>
      </c>
      <c r="G937" t="str">
        <f>"201402005152"</f>
        <v>201402005152</v>
      </c>
      <c r="H937">
        <v>50.4</v>
      </c>
      <c r="I937">
        <v>10</v>
      </c>
      <c r="M937">
        <v>4</v>
      </c>
      <c r="N937">
        <v>0</v>
      </c>
      <c r="O937">
        <v>0</v>
      </c>
      <c r="P937">
        <v>64.4</v>
      </c>
      <c r="Q937">
        <v>8</v>
      </c>
      <c r="R937">
        <v>8</v>
      </c>
      <c r="S937">
        <v>0</v>
      </c>
      <c r="T937">
        <v>0</v>
      </c>
      <c r="U937" s="1">
        <v>0</v>
      </c>
      <c r="V937">
        <v>72.4</v>
      </c>
    </row>
    <row r="938" spans="1:22" ht="15">
      <c r="A938" s="4">
        <v>931</v>
      </c>
      <c r="B938">
        <v>1938</v>
      </c>
      <c r="C938" t="s">
        <v>96</v>
      </c>
      <c r="D938" t="s">
        <v>640</v>
      </c>
      <c r="E938" t="s">
        <v>131</v>
      </c>
      <c r="F938" t="s">
        <v>2211</v>
      </c>
      <c r="G938" t="str">
        <f>"00526480"</f>
        <v>00526480</v>
      </c>
      <c r="H938">
        <v>50.4</v>
      </c>
      <c r="I938">
        <v>10</v>
      </c>
      <c r="M938">
        <v>4</v>
      </c>
      <c r="N938">
        <v>0</v>
      </c>
      <c r="O938">
        <v>0</v>
      </c>
      <c r="P938">
        <v>64.4</v>
      </c>
      <c r="Q938">
        <v>5</v>
      </c>
      <c r="R938">
        <v>5</v>
      </c>
      <c r="S938">
        <v>3</v>
      </c>
      <c r="T938">
        <v>0</v>
      </c>
      <c r="U938" s="1">
        <v>0</v>
      </c>
      <c r="V938">
        <v>72.4</v>
      </c>
    </row>
    <row r="939" spans="1:22" ht="15">
      <c r="A939" s="4">
        <v>932</v>
      </c>
      <c r="B939">
        <v>2165</v>
      </c>
      <c r="C939" t="s">
        <v>2212</v>
      </c>
      <c r="D939" t="s">
        <v>14</v>
      </c>
      <c r="E939" t="s">
        <v>11</v>
      </c>
      <c r="F939" t="s">
        <v>2213</v>
      </c>
      <c r="G939" t="str">
        <f>"00467869"</f>
        <v>00467869</v>
      </c>
      <c r="H939">
        <v>50.4</v>
      </c>
      <c r="I939">
        <v>10</v>
      </c>
      <c r="J939">
        <v>8</v>
      </c>
      <c r="M939">
        <v>4</v>
      </c>
      <c r="N939">
        <v>8</v>
      </c>
      <c r="O939">
        <v>0</v>
      </c>
      <c r="P939">
        <v>72.4</v>
      </c>
      <c r="Q939">
        <v>0</v>
      </c>
      <c r="R939">
        <v>0</v>
      </c>
      <c r="S939">
        <v>0</v>
      </c>
      <c r="T939">
        <v>0</v>
      </c>
      <c r="U939" s="1">
        <v>0</v>
      </c>
      <c r="V939">
        <v>72.4</v>
      </c>
    </row>
    <row r="940" spans="1:22" ht="15">
      <c r="A940" s="4">
        <v>933</v>
      </c>
      <c r="B940">
        <v>582</v>
      </c>
      <c r="C940" t="s">
        <v>2214</v>
      </c>
      <c r="D940" t="s">
        <v>273</v>
      </c>
      <c r="E940" t="s">
        <v>90</v>
      </c>
      <c r="F940" t="s">
        <v>2215</v>
      </c>
      <c r="G940" t="str">
        <f>"00531124"</f>
        <v>00531124</v>
      </c>
      <c r="H940">
        <v>50.4</v>
      </c>
      <c r="I940">
        <v>0</v>
      </c>
      <c r="K940">
        <v>6</v>
      </c>
      <c r="L940">
        <v>4</v>
      </c>
      <c r="M940">
        <v>4</v>
      </c>
      <c r="N940">
        <v>10</v>
      </c>
      <c r="O940">
        <v>0</v>
      </c>
      <c r="P940">
        <v>64.4</v>
      </c>
      <c r="Q940">
        <v>8</v>
      </c>
      <c r="R940">
        <v>8</v>
      </c>
      <c r="S940">
        <v>0</v>
      </c>
      <c r="T940">
        <v>0</v>
      </c>
      <c r="U940" s="1">
        <v>0</v>
      </c>
      <c r="V940">
        <v>72.4</v>
      </c>
    </row>
    <row r="941" spans="1:22" ht="15">
      <c r="A941" s="4">
        <v>934</v>
      </c>
      <c r="B941">
        <v>461</v>
      </c>
      <c r="C941" t="s">
        <v>2216</v>
      </c>
      <c r="D941" t="s">
        <v>2217</v>
      </c>
      <c r="E941" t="s">
        <v>19</v>
      </c>
      <c r="F941" t="s">
        <v>2218</v>
      </c>
      <c r="G941" t="str">
        <f>"00122512"</f>
        <v>00122512</v>
      </c>
      <c r="H941">
        <v>43.2</v>
      </c>
      <c r="I941">
        <v>0</v>
      </c>
      <c r="J941">
        <v>8</v>
      </c>
      <c r="L941">
        <v>4</v>
      </c>
      <c r="M941">
        <v>4</v>
      </c>
      <c r="N941">
        <v>12</v>
      </c>
      <c r="O941">
        <v>0</v>
      </c>
      <c r="P941">
        <v>59.2</v>
      </c>
      <c r="Q941">
        <v>7</v>
      </c>
      <c r="R941">
        <v>7</v>
      </c>
      <c r="S941">
        <v>6</v>
      </c>
      <c r="T941">
        <v>0</v>
      </c>
      <c r="U941" s="1">
        <v>0</v>
      </c>
      <c r="V941">
        <v>72.2</v>
      </c>
    </row>
    <row r="942" spans="1:22" ht="15">
      <c r="A942" s="4">
        <v>935</v>
      </c>
      <c r="B942">
        <v>428</v>
      </c>
      <c r="C942" t="s">
        <v>2219</v>
      </c>
      <c r="D942" t="s">
        <v>2220</v>
      </c>
      <c r="E942" t="s">
        <v>2221</v>
      </c>
      <c r="F942" t="s">
        <v>2222</v>
      </c>
      <c r="G942" t="str">
        <f>"00502402"</f>
        <v>00502402</v>
      </c>
      <c r="H942">
        <v>39.12</v>
      </c>
      <c r="I942">
        <v>0</v>
      </c>
      <c r="M942">
        <v>0</v>
      </c>
      <c r="N942">
        <v>0</v>
      </c>
      <c r="O942">
        <v>0</v>
      </c>
      <c r="P942">
        <v>39.12</v>
      </c>
      <c r="Q942">
        <v>30</v>
      </c>
      <c r="R942">
        <v>30</v>
      </c>
      <c r="S942">
        <v>3</v>
      </c>
      <c r="T942">
        <v>0</v>
      </c>
      <c r="U942" s="1">
        <v>0</v>
      </c>
      <c r="V942">
        <v>72.12</v>
      </c>
    </row>
    <row r="943" spans="1:22" ht="15">
      <c r="A943" s="4">
        <v>936</v>
      </c>
      <c r="B943">
        <v>2591</v>
      </c>
      <c r="C943" t="s">
        <v>2223</v>
      </c>
      <c r="D943" t="s">
        <v>102</v>
      </c>
      <c r="E943" t="s">
        <v>672</v>
      </c>
      <c r="F943" t="s">
        <v>2224</v>
      </c>
      <c r="G943" t="str">
        <f>"00442453"</f>
        <v>00442453</v>
      </c>
      <c r="H943">
        <v>36</v>
      </c>
      <c r="I943">
        <v>0</v>
      </c>
      <c r="L943">
        <v>4</v>
      </c>
      <c r="M943">
        <v>4</v>
      </c>
      <c r="N943">
        <v>4</v>
      </c>
      <c r="O943">
        <v>0</v>
      </c>
      <c r="P943">
        <v>44</v>
      </c>
      <c r="Q943">
        <v>25</v>
      </c>
      <c r="R943">
        <v>25</v>
      </c>
      <c r="S943">
        <v>3</v>
      </c>
      <c r="T943">
        <v>0</v>
      </c>
      <c r="U943" s="1">
        <v>0</v>
      </c>
      <c r="V943">
        <v>72</v>
      </c>
    </row>
    <row r="944" spans="1:22" ht="15">
      <c r="A944" s="4">
        <v>937</v>
      </c>
      <c r="B944">
        <v>2454</v>
      </c>
      <c r="C944" t="s">
        <v>2225</v>
      </c>
      <c r="D944" t="s">
        <v>26</v>
      </c>
      <c r="E944" t="s">
        <v>447</v>
      </c>
      <c r="F944" t="s">
        <v>2226</v>
      </c>
      <c r="G944" t="str">
        <f>"00530765"</f>
        <v>00530765</v>
      </c>
      <c r="H944">
        <v>72</v>
      </c>
      <c r="I944">
        <v>0</v>
      </c>
      <c r="M944">
        <v>0</v>
      </c>
      <c r="N944">
        <v>0</v>
      </c>
      <c r="O944">
        <v>0</v>
      </c>
      <c r="P944">
        <v>72</v>
      </c>
      <c r="Q944">
        <v>0</v>
      </c>
      <c r="R944">
        <v>0</v>
      </c>
      <c r="S944">
        <v>0</v>
      </c>
      <c r="T944">
        <v>0</v>
      </c>
      <c r="U944" s="1">
        <v>0</v>
      </c>
      <c r="V944">
        <v>72</v>
      </c>
    </row>
    <row r="945" spans="1:22" ht="15">
      <c r="A945" s="4">
        <v>938</v>
      </c>
      <c r="B945">
        <v>2334</v>
      </c>
      <c r="C945" t="s">
        <v>2227</v>
      </c>
      <c r="D945" t="s">
        <v>333</v>
      </c>
      <c r="E945" t="s">
        <v>30</v>
      </c>
      <c r="F945" t="s">
        <v>2228</v>
      </c>
      <c r="G945" t="str">
        <f>"00534166"</f>
        <v>00534166</v>
      </c>
      <c r="H945">
        <v>36</v>
      </c>
      <c r="I945">
        <v>10</v>
      </c>
      <c r="M945">
        <v>0</v>
      </c>
      <c r="N945">
        <v>0</v>
      </c>
      <c r="O945">
        <v>0</v>
      </c>
      <c r="P945">
        <v>46</v>
      </c>
      <c r="Q945">
        <v>17</v>
      </c>
      <c r="R945">
        <v>17</v>
      </c>
      <c r="S945">
        <v>9</v>
      </c>
      <c r="T945">
        <v>0</v>
      </c>
      <c r="U945" s="1">
        <v>0</v>
      </c>
      <c r="V945">
        <v>72</v>
      </c>
    </row>
    <row r="946" spans="1:22" ht="15">
      <c r="A946" s="4">
        <v>939</v>
      </c>
      <c r="B946">
        <v>166</v>
      </c>
      <c r="C946" t="s">
        <v>2229</v>
      </c>
      <c r="D946" t="s">
        <v>156</v>
      </c>
      <c r="E946" t="s">
        <v>99</v>
      </c>
      <c r="F946" t="s">
        <v>2230</v>
      </c>
      <c r="G946" t="str">
        <f>"00525570"</f>
        <v>00525570</v>
      </c>
      <c r="H946">
        <v>26.84</v>
      </c>
      <c r="I946">
        <v>0</v>
      </c>
      <c r="M946">
        <v>0</v>
      </c>
      <c r="N946">
        <v>0</v>
      </c>
      <c r="O946">
        <v>0</v>
      </c>
      <c r="P946">
        <v>26.84</v>
      </c>
      <c r="Q946">
        <v>0</v>
      </c>
      <c r="R946">
        <v>0</v>
      </c>
      <c r="S946">
        <v>9</v>
      </c>
      <c r="T946">
        <v>36</v>
      </c>
      <c r="U946" s="1">
        <v>0</v>
      </c>
      <c r="V946">
        <v>71.84</v>
      </c>
    </row>
    <row r="947" spans="1:22" ht="15">
      <c r="A947" s="4">
        <v>940</v>
      </c>
      <c r="B947">
        <v>2469</v>
      </c>
      <c r="C947" t="s">
        <v>533</v>
      </c>
      <c r="D947" t="s">
        <v>2231</v>
      </c>
      <c r="E947" t="s">
        <v>73</v>
      </c>
      <c r="F947" t="s">
        <v>2232</v>
      </c>
      <c r="G947" t="str">
        <f>"00532151"</f>
        <v>00532151</v>
      </c>
      <c r="H947">
        <v>36.84</v>
      </c>
      <c r="I947">
        <v>0</v>
      </c>
      <c r="M947">
        <v>0</v>
      </c>
      <c r="N947">
        <v>0</v>
      </c>
      <c r="O947">
        <v>0</v>
      </c>
      <c r="P947">
        <v>36.84</v>
      </c>
      <c r="Q947">
        <v>6</v>
      </c>
      <c r="R947">
        <v>6</v>
      </c>
      <c r="S947">
        <v>9</v>
      </c>
      <c r="T947">
        <v>20</v>
      </c>
      <c r="U947" s="1">
        <v>0</v>
      </c>
      <c r="V947">
        <v>71.84</v>
      </c>
    </row>
    <row r="948" spans="1:22" ht="15">
      <c r="A948" s="4">
        <v>941</v>
      </c>
      <c r="B948">
        <v>2008</v>
      </c>
      <c r="C948" t="s">
        <v>2233</v>
      </c>
      <c r="D948" t="s">
        <v>958</v>
      </c>
      <c r="E948" t="s">
        <v>23</v>
      </c>
      <c r="F948" t="s">
        <v>2234</v>
      </c>
      <c r="G948" t="str">
        <f>"00163462"</f>
        <v>00163462</v>
      </c>
      <c r="H948">
        <v>28.8</v>
      </c>
      <c r="I948">
        <v>10</v>
      </c>
      <c r="L948">
        <v>4</v>
      </c>
      <c r="M948">
        <v>4</v>
      </c>
      <c r="N948">
        <v>4</v>
      </c>
      <c r="O948">
        <v>0</v>
      </c>
      <c r="P948">
        <v>46.8</v>
      </c>
      <c r="Q948">
        <v>25</v>
      </c>
      <c r="R948">
        <v>25</v>
      </c>
      <c r="S948">
        <v>0</v>
      </c>
      <c r="T948">
        <v>0</v>
      </c>
      <c r="U948" s="1">
        <v>0</v>
      </c>
      <c r="V948">
        <v>71.8</v>
      </c>
    </row>
    <row r="949" spans="1:22" ht="15">
      <c r="A949" s="4">
        <v>942</v>
      </c>
      <c r="B949">
        <v>3007</v>
      </c>
      <c r="C949" t="s">
        <v>2235</v>
      </c>
      <c r="D949" t="s">
        <v>179</v>
      </c>
      <c r="E949" t="s">
        <v>23</v>
      </c>
      <c r="F949" t="s">
        <v>2236</v>
      </c>
      <c r="G949" t="str">
        <f>"00531343"</f>
        <v>00531343</v>
      </c>
      <c r="H949">
        <v>64.8</v>
      </c>
      <c r="I949">
        <v>0</v>
      </c>
      <c r="M949">
        <v>4</v>
      </c>
      <c r="N949">
        <v>0</v>
      </c>
      <c r="O949">
        <v>0</v>
      </c>
      <c r="P949">
        <v>68.8</v>
      </c>
      <c r="Q949">
        <v>0</v>
      </c>
      <c r="R949">
        <v>0</v>
      </c>
      <c r="S949">
        <v>3</v>
      </c>
      <c r="T949">
        <v>0</v>
      </c>
      <c r="U949" s="1">
        <v>0</v>
      </c>
      <c r="V949">
        <v>71.8</v>
      </c>
    </row>
    <row r="950" spans="1:22" ht="15">
      <c r="A950" s="4">
        <v>943</v>
      </c>
      <c r="B950">
        <v>807</v>
      </c>
      <c r="C950" t="s">
        <v>2237</v>
      </c>
      <c r="D950" t="s">
        <v>89</v>
      </c>
      <c r="E950" t="s">
        <v>19</v>
      </c>
      <c r="F950" t="s">
        <v>2238</v>
      </c>
      <c r="G950" t="str">
        <f>"201406009796"</f>
        <v>201406009796</v>
      </c>
      <c r="H950">
        <v>28.8</v>
      </c>
      <c r="I950">
        <v>10</v>
      </c>
      <c r="J950">
        <v>8</v>
      </c>
      <c r="L950">
        <v>4</v>
      </c>
      <c r="M950">
        <v>4</v>
      </c>
      <c r="N950">
        <v>12</v>
      </c>
      <c r="O950">
        <v>0</v>
      </c>
      <c r="P950">
        <v>54.8</v>
      </c>
      <c r="Q950">
        <v>17</v>
      </c>
      <c r="R950">
        <v>17</v>
      </c>
      <c r="S950">
        <v>0</v>
      </c>
      <c r="T950">
        <v>0</v>
      </c>
      <c r="U950" s="1">
        <v>0</v>
      </c>
      <c r="V950">
        <v>71.8</v>
      </c>
    </row>
    <row r="951" spans="1:22" ht="15">
      <c r="A951" s="4">
        <v>944</v>
      </c>
      <c r="B951">
        <v>1292</v>
      </c>
      <c r="C951" t="s">
        <v>613</v>
      </c>
      <c r="D951" t="s">
        <v>127</v>
      </c>
      <c r="E951" t="s">
        <v>23</v>
      </c>
      <c r="F951" t="s">
        <v>2239</v>
      </c>
      <c r="G951" t="str">
        <f>"00441550"</f>
        <v>00441550</v>
      </c>
      <c r="H951">
        <v>28.8</v>
      </c>
      <c r="I951">
        <v>0</v>
      </c>
      <c r="L951">
        <v>4</v>
      </c>
      <c r="M951">
        <v>4</v>
      </c>
      <c r="N951">
        <v>4</v>
      </c>
      <c r="O951">
        <v>2</v>
      </c>
      <c r="P951">
        <v>38.8</v>
      </c>
      <c r="Q951">
        <v>33</v>
      </c>
      <c r="R951">
        <v>33</v>
      </c>
      <c r="S951">
        <v>0</v>
      </c>
      <c r="T951">
        <v>0</v>
      </c>
      <c r="U951" s="1">
        <v>0</v>
      </c>
      <c r="V951">
        <v>71.8</v>
      </c>
    </row>
    <row r="952" spans="1:22" ht="15">
      <c r="A952" s="4">
        <v>945</v>
      </c>
      <c r="B952">
        <v>1999</v>
      </c>
      <c r="C952" t="s">
        <v>1005</v>
      </c>
      <c r="D952" t="s">
        <v>14</v>
      </c>
      <c r="E952" t="s">
        <v>90</v>
      </c>
      <c r="F952" t="s">
        <v>2240</v>
      </c>
      <c r="G952" t="str">
        <f>"201511017319"</f>
        <v>201511017319</v>
      </c>
      <c r="H952">
        <v>36.8</v>
      </c>
      <c r="I952">
        <v>0</v>
      </c>
      <c r="M952">
        <v>4</v>
      </c>
      <c r="N952">
        <v>0</v>
      </c>
      <c r="O952">
        <v>0</v>
      </c>
      <c r="P952">
        <v>40.8</v>
      </c>
      <c r="Q952">
        <v>31</v>
      </c>
      <c r="R952">
        <v>31</v>
      </c>
      <c r="S952">
        <v>0</v>
      </c>
      <c r="T952">
        <v>0</v>
      </c>
      <c r="U952" s="1">
        <v>0</v>
      </c>
      <c r="V952">
        <v>71.8</v>
      </c>
    </row>
    <row r="953" spans="1:22" ht="15">
      <c r="A953" s="4">
        <v>946</v>
      </c>
      <c r="B953">
        <v>1425</v>
      </c>
      <c r="C953" t="s">
        <v>1182</v>
      </c>
      <c r="D953" t="s">
        <v>2241</v>
      </c>
      <c r="E953" t="s">
        <v>161</v>
      </c>
      <c r="F953" t="s">
        <v>2242</v>
      </c>
      <c r="G953" t="str">
        <f>"00525821"</f>
        <v>00525821</v>
      </c>
      <c r="H953">
        <v>28.8</v>
      </c>
      <c r="I953">
        <v>10</v>
      </c>
      <c r="M953">
        <v>4</v>
      </c>
      <c r="N953">
        <v>0</v>
      </c>
      <c r="O953">
        <v>0</v>
      </c>
      <c r="P953">
        <v>42.8</v>
      </c>
      <c r="Q953">
        <v>29</v>
      </c>
      <c r="R953">
        <v>29</v>
      </c>
      <c r="S953">
        <v>0</v>
      </c>
      <c r="T953">
        <v>0</v>
      </c>
      <c r="U953" s="1">
        <v>0</v>
      </c>
      <c r="V953">
        <v>71.8</v>
      </c>
    </row>
    <row r="954" spans="1:22" ht="15">
      <c r="A954" s="4">
        <v>947</v>
      </c>
      <c r="B954">
        <v>497</v>
      </c>
      <c r="C954" t="s">
        <v>2243</v>
      </c>
      <c r="D954" t="s">
        <v>14</v>
      </c>
      <c r="E954" t="s">
        <v>90</v>
      </c>
      <c r="F954" t="s">
        <v>2244</v>
      </c>
      <c r="G954" t="str">
        <f>"00528642"</f>
        <v>00528642</v>
      </c>
      <c r="H954">
        <v>57.6</v>
      </c>
      <c r="I954">
        <v>10</v>
      </c>
      <c r="M954">
        <v>4</v>
      </c>
      <c r="N954">
        <v>0</v>
      </c>
      <c r="O954">
        <v>0</v>
      </c>
      <c r="P954">
        <v>71.6</v>
      </c>
      <c r="Q954">
        <v>0</v>
      </c>
      <c r="R954">
        <v>0</v>
      </c>
      <c r="S954">
        <v>0</v>
      </c>
      <c r="T954">
        <v>0</v>
      </c>
      <c r="U954" s="1">
        <v>0</v>
      </c>
      <c r="V954">
        <v>71.6</v>
      </c>
    </row>
    <row r="955" spans="1:22" ht="15">
      <c r="A955" s="4">
        <v>948</v>
      </c>
      <c r="B955">
        <v>1248</v>
      </c>
      <c r="C955" t="s">
        <v>2245</v>
      </c>
      <c r="D955" t="s">
        <v>1378</v>
      </c>
      <c r="E955" t="s">
        <v>65</v>
      </c>
      <c r="F955" t="s">
        <v>2246</v>
      </c>
      <c r="G955" t="str">
        <f>"00503713"</f>
        <v>00503713</v>
      </c>
      <c r="H955">
        <v>21.6</v>
      </c>
      <c r="I955">
        <v>0</v>
      </c>
      <c r="L955">
        <v>4</v>
      </c>
      <c r="M955">
        <v>4</v>
      </c>
      <c r="N955">
        <v>4</v>
      </c>
      <c r="O955">
        <v>2</v>
      </c>
      <c r="P955">
        <v>31.6</v>
      </c>
      <c r="Q955">
        <v>40</v>
      </c>
      <c r="R955">
        <v>40</v>
      </c>
      <c r="S955">
        <v>0</v>
      </c>
      <c r="T955">
        <v>0</v>
      </c>
      <c r="U955" s="1">
        <v>0</v>
      </c>
      <c r="V955">
        <v>71.6</v>
      </c>
    </row>
    <row r="956" spans="1:22" ht="15">
      <c r="A956" s="4">
        <v>949</v>
      </c>
      <c r="B956">
        <v>22</v>
      </c>
      <c r="C956" t="s">
        <v>2247</v>
      </c>
      <c r="D956" t="s">
        <v>40</v>
      </c>
      <c r="E956" t="s">
        <v>11</v>
      </c>
      <c r="F956" t="s">
        <v>2248</v>
      </c>
      <c r="G956" t="str">
        <f>"00068961"</f>
        <v>00068961</v>
      </c>
      <c r="H956">
        <v>21.6</v>
      </c>
      <c r="I956">
        <v>10</v>
      </c>
      <c r="L956">
        <v>4</v>
      </c>
      <c r="M956">
        <v>4</v>
      </c>
      <c r="N956">
        <v>4</v>
      </c>
      <c r="O956">
        <v>0</v>
      </c>
      <c r="P956">
        <v>39.6</v>
      </c>
      <c r="Q956">
        <v>32</v>
      </c>
      <c r="R956">
        <v>32</v>
      </c>
      <c r="S956">
        <v>0</v>
      </c>
      <c r="T956">
        <v>0</v>
      </c>
      <c r="U956" s="1">
        <v>0</v>
      </c>
      <c r="V956">
        <v>71.6</v>
      </c>
    </row>
    <row r="957" spans="1:22" ht="15">
      <c r="A957" s="4">
        <v>950</v>
      </c>
      <c r="B957">
        <v>265</v>
      </c>
      <c r="C957" t="s">
        <v>2249</v>
      </c>
      <c r="D957" t="s">
        <v>156</v>
      </c>
      <c r="E957" t="s">
        <v>51</v>
      </c>
      <c r="F957" t="s">
        <v>2250</v>
      </c>
      <c r="G957" t="str">
        <f>"00144250"</f>
        <v>00144250</v>
      </c>
      <c r="H957">
        <v>57.6</v>
      </c>
      <c r="I957">
        <v>10</v>
      </c>
      <c r="M957">
        <v>4</v>
      </c>
      <c r="N957">
        <v>0</v>
      </c>
      <c r="O957">
        <v>0</v>
      </c>
      <c r="P957">
        <v>71.6</v>
      </c>
      <c r="Q957">
        <v>0</v>
      </c>
      <c r="R957">
        <v>0</v>
      </c>
      <c r="S957">
        <v>0</v>
      </c>
      <c r="T957">
        <v>0</v>
      </c>
      <c r="U957" s="1">
        <v>0</v>
      </c>
      <c r="V957">
        <v>71.6</v>
      </c>
    </row>
    <row r="958" spans="1:22" ht="15">
      <c r="A958" s="4">
        <v>951</v>
      </c>
      <c r="B958">
        <v>378</v>
      </c>
      <c r="C958" t="s">
        <v>2251</v>
      </c>
      <c r="D958" t="s">
        <v>121</v>
      </c>
      <c r="E958" t="s">
        <v>19</v>
      </c>
      <c r="F958" t="s">
        <v>2252</v>
      </c>
      <c r="G958" t="str">
        <f>"00520462"</f>
        <v>00520462</v>
      </c>
      <c r="H958">
        <v>39.6</v>
      </c>
      <c r="I958">
        <v>0</v>
      </c>
      <c r="M958">
        <v>0</v>
      </c>
      <c r="N958">
        <v>0</v>
      </c>
      <c r="O958">
        <v>0</v>
      </c>
      <c r="P958">
        <v>39.6</v>
      </c>
      <c r="Q958">
        <v>32</v>
      </c>
      <c r="R958">
        <v>32</v>
      </c>
      <c r="S958">
        <v>0</v>
      </c>
      <c r="T958">
        <v>0</v>
      </c>
      <c r="U958" s="1">
        <v>0</v>
      </c>
      <c r="V958">
        <v>71.6</v>
      </c>
    </row>
    <row r="959" spans="1:22" ht="15">
      <c r="A959" s="4">
        <v>952</v>
      </c>
      <c r="B959">
        <v>804</v>
      </c>
      <c r="C959" t="s">
        <v>2253</v>
      </c>
      <c r="D959" t="s">
        <v>29</v>
      </c>
      <c r="E959" t="s">
        <v>83</v>
      </c>
      <c r="F959" t="s">
        <v>2254</v>
      </c>
      <c r="G959" t="str">
        <f>"201511026833"</f>
        <v>201511026833</v>
      </c>
      <c r="H959">
        <v>57.6</v>
      </c>
      <c r="I959">
        <v>10</v>
      </c>
      <c r="M959">
        <v>4</v>
      </c>
      <c r="N959">
        <v>0</v>
      </c>
      <c r="O959">
        <v>0</v>
      </c>
      <c r="P959">
        <v>71.6</v>
      </c>
      <c r="Q959">
        <v>0</v>
      </c>
      <c r="R959">
        <v>0</v>
      </c>
      <c r="S959">
        <v>0</v>
      </c>
      <c r="T959">
        <v>0</v>
      </c>
      <c r="U959" s="1">
        <v>0</v>
      </c>
      <c r="V959">
        <v>71.6</v>
      </c>
    </row>
    <row r="960" spans="1:22" ht="15">
      <c r="A960" s="4">
        <v>953</v>
      </c>
      <c r="B960">
        <v>2587</v>
      </c>
      <c r="C960" t="s">
        <v>678</v>
      </c>
      <c r="D960" t="s">
        <v>89</v>
      </c>
      <c r="E960" t="s">
        <v>59</v>
      </c>
      <c r="F960" t="s">
        <v>2255</v>
      </c>
      <c r="G960" t="str">
        <f>"00531009"</f>
        <v>00531009</v>
      </c>
      <c r="H960">
        <v>57.6</v>
      </c>
      <c r="I960">
        <v>0</v>
      </c>
      <c r="L960">
        <v>4</v>
      </c>
      <c r="M960">
        <v>4</v>
      </c>
      <c r="N960">
        <v>4</v>
      </c>
      <c r="O960">
        <v>0</v>
      </c>
      <c r="P960">
        <v>65.6</v>
      </c>
      <c r="Q960">
        <v>0</v>
      </c>
      <c r="R960">
        <v>0</v>
      </c>
      <c r="S960">
        <v>6</v>
      </c>
      <c r="T960">
        <v>0</v>
      </c>
      <c r="U960" s="1">
        <v>0</v>
      </c>
      <c r="V960">
        <v>71.6</v>
      </c>
    </row>
    <row r="961" spans="1:22" ht="15">
      <c r="A961" s="4">
        <v>954</v>
      </c>
      <c r="B961">
        <v>2538</v>
      </c>
      <c r="C961" t="s">
        <v>2256</v>
      </c>
      <c r="D961" t="s">
        <v>280</v>
      </c>
      <c r="E961" t="s">
        <v>65</v>
      </c>
      <c r="F961" t="s">
        <v>2257</v>
      </c>
      <c r="G961" t="str">
        <f>"00532097"</f>
        <v>00532097</v>
      </c>
      <c r="H961">
        <v>57.6</v>
      </c>
      <c r="I961">
        <v>10</v>
      </c>
      <c r="M961">
        <v>4</v>
      </c>
      <c r="N961">
        <v>0</v>
      </c>
      <c r="O961">
        <v>0</v>
      </c>
      <c r="P961">
        <v>71.6</v>
      </c>
      <c r="Q961">
        <v>0</v>
      </c>
      <c r="R961">
        <v>0</v>
      </c>
      <c r="S961">
        <v>0</v>
      </c>
      <c r="T961">
        <v>0</v>
      </c>
      <c r="U961" s="1">
        <v>0</v>
      </c>
      <c r="V961">
        <v>71.6</v>
      </c>
    </row>
    <row r="962" spans="1:22" ht="15">
      <c r="A962" s="4">
        <v>955</v>
      </c>
      <c r="B962">
        <v>307</v>
      </c>
      <c r="C962" t="s">
        <v>2258</v>
      </c>
      <c r="D962" t="s">
        <v>266</v>
      </c>
      <c r="E962" t="s">
        <v>2259</v>
      </c>
      <c r="F962" t="s">
        <v>2260</v>
      </c>
      <c r="G962" t="str">
        <f>"00485995"</f>
        <v>00485995</v>
      </c>
      <c r="H962">
        <v>39.56</v>
      </c>
      <c r="I962">
        <v>0</v>
      </c>
      <c r="M962">
        <v>0</v>
      </c>
      <c r="N962">
        <v>0</v>
      </c>
      <c r="O962">
        <v>0</v>
      </c>
      <c r="P962">
        <v>39.56</v>
      </c>
      <c r="Q962">
        <v>26</v>
      </c>
      <c r="R962">
        <v>26</v>
      </c>
      <c r="S962">
        <v>6</v>
      </c>
      <c r="T962">
        <v>0</v>
      </c>
      <c r="U962" s="1">
        <v>0</v>
      </c>
      <c r="V962">
        <v>71.56</v>
      </c>
    </row>
    <row r="963" spans="1:22" ht="15">
      <c r="A963" s="4">
        <v>956</v>
      </c>
      <c r="B963">
        <v>3087</v>
      </c>
      <c r="C963" t="s">
        <v>2261</v>
      </c>
      <c r="D963" t="s">
        <v>280</v>
      </c>
      <c r="E963" t="s">
        <v>11</v>
      </c>
      <c r="F963" t="s">
        <v>2262</v>
      </c>
      <c r="G963" t="str">
        <f>"00532884"</f>
        <v>00532884</v>
      </c>
      <c r="H963">
        <v>14.4</v>
      </c>
      <c r="I963">
        <v>0</v>
      </c>
      <c r="L963">
        <v>4</v>
      </c>
      <c r="M963">
        <v>0</v>
      </c>
      <c r="N963">
        <v>4</v>
      </c>
      <c r="O963">
        <v>0</v>
      </c>
      <c r="P963">
        <v>18.4</v>
      </c>
      <c r="Q963">
        <v>50</v>
      </c>
      <c r="R963">
        <v>50</v>
      </c>
      <c r="S963">
        <v>3</v>
      </c>
      <c r="T963">
        <v>0</v>
      </c>
      <c r="U963" s="1">
        <v>0</v>
      </c>
      <c r="V963">
        <v>71.4</v>
      </c>
    </row>
    <row r="964" spans="1:22" ht="15">
      <c r="A964" s="4">
        <v>957</v>
      </c>
      <c r="B964">
        <v>1155</v>
      </c>
      <c r="C964" t="s">
        <v>2263</v>
      </c>
      <c r="D964" t="s">
        <v>477</v>
      </c>
      <c r="E964" t="s">
        <v>90</v>
      </c>
      <c r="F964" t="s">
        <v>2264</v>
      </c>
      <c r="G964" t="str">
        <f>"00291075"</f>
        <v>00291075</v>
      </c>
      <c r="H964">
        <v>50.4</v>
      </c>
      <c r="I964">
        <v>10</v>
      </c>
      <c r="L964">
        <v>4</v>
      </c>
      <c r="M964">
        <v>4</v>
      </c>
      <c r="N964">
        <v>4</v>
      </c>
      <c r="O964">
        <v>0</v>
      </c>
      <c r="P964">
        <v>68.4</v>
      </c>
      <c r="Q964">
        <v>0</v>
      </c>
      <c r="R964">
        <v>0</v>
      </c>
      <c r="S964">
        <v>3</v>
      </c>
      <c r="T964">
        <v>0</v>
      </c>
      <c r="U964" s="1">
        <v>0</v>
      </c>
      <c r="V964">
        <v>71.4</v>
      </c>
    </row>
    <row r="965" spans="1:22" ht="15">
      <c r="A965" s="4">
        <v>958</v>
      </c>
      <c r="B965">
        <v>1050</v>
      </c>
      <c r="C965" t="s">
        <v>2265</v>
      </c>
      <c r="D965" t="s">
        <v>2266</v>
      </c>
      <c r="E965" t="s">
        <v>1180</v>
      </c>
      <c r="F965">
        <v>368997</v>
      </c>
      <c r="G965" t="str">
        <f>"00460113"</f>
        <v>00460113</v>
      </c>
      <c r="H965">
        <v>71.28</v>
      </c>
      <c r="I965">
        <v>0</v>
      </c>
      <c r="M965">
        <v>0</v>
      </c>
      <c r="N965">
        <v>0</v>
      </c>
      <c r="O965">
        <v>0</v>
      </c>
      <c r="P965">
        <v>71.28</v>
      </c>
      <c r="Q965">
        <v>0</v>
      </c>
      <c r="R965">
        <v>0</v>
      </c>
      <c r="S965">
        <v>0</v>
      </c>
      <c r="T965">
        <v>0</v>
      </c>
      <c r="U965" s="1">
        <v>0</v>
      </c>
      <c r="V965">
        <v>71.28</v>
      </c>
    </row>
    <row r="966" spans="1:22" ht="15">
      <c r="A966" s="4">
        <v>959</v>
      </c>
      <c r="B966">
        <v>2248</v>
      </c>
      <c r="C966" t="s">
        <v>2267</v>
      </c>
      <c r="D966" t="s">
        <v>89</v>
      </c>
      <c r="E966" t="s">
        <v>19</v>
      </c>
      <c r="F966" t="s">
        <v>2268</v>
      </c>
      <c r="G966" t="str">
        <f>"00159762"</f>
        <v>00159762</v>
      </c>
      <c r="H966">
        <v>38.2</v>
      </c>
      <c r="I966">
        <v>0</v>
      </c>
      <c r="L966">
        <v>4</v>
      </c>
      <c r="M966">
        <v>4</v>
      </c>
      <c r="N966">
        <v>4</v>
      </c>
      <c r="O966">
        <v>0</v>
      </c>
      <c r="P966">
        <v>46.2</v>
      </c>
      <c r="Q966">
        <v>19</v>
      </c>
      <c r="R966">
        <v>19</v>
      </c>
      <c r="S966">
        <v>6</v>
      </c>
      <c r="T966">
        <v>0</v>
      </c>
      <c r="U966" s="1">
        <v>0</v>
      </c>
      <c r="V966">
        <v>71.2</v>
      </c>
    </row>
    <row r="967" spans="1:22" ht="15">
      <c r="A967" s="4">
        <v>960</v>
      </c>
      <c r="B967">
        <v>2828</v>
      </c>
      <c r="C967" t="s">
        <v>96</v>
      </c>
      <c r="D967" t="s">
        <v>453</v>
      </c>
      <c r="E967" t="s">
        <v>23</v>
      </c>
      <c r="F967" t="s">
        <v>2269</v>
      </c>
      <c r="G967" t="str">
        <f>"00162123"</f>
        <v>00162123</v>
      </c>
      <c r="H967">
        <v>43.2</v>
      </c>
      <c r="I967">
        <v>0</v>
      </c>
      <c r="M967">
        <v>4</v>
      </c>
      <c r="N967">
        <v>0</v>
      </c>
      <c r="O967">
        <v>0</v>
      </c>
      <c r="P967">
        <v>47.2</v>
      </c>
      <c r="Q967">
        <v>24</v>
      </c>
      <c r="R967">
        <v>24</v>
      </c>
      <c r="S967">
        <v>0</v>
      </c>
      <c r="T967">
        <v>0</v>
      </c>
      <c r="U967" s="1">
        <v>0</v>
      </c>
      <c r="V967">
        <v>71.2</v>
      </c>
    </row>
    <row r="968" spans="1:22" ht="15">
      <c r="A968" s="4">
        <v>961</v>
      </c>
      <c r="B968">
        <v>2633</v>
      </c>
      <c r="C968" t="s">
        <v>2270</v>
      </c>
      <c r="D968" t="s">
        <v>799</v>
      </c>
      <c r="E968" t="s">
        <v>447</v>
      </c>
      <c r="F968" t="s">
        <v>2271</v>
      </c>
      <c r="G968" t="str">
        <f>"00522893"</f>
        <v>00522893</v>
      </c>
      <c r="H968">
        <v>23.16</v>
      </c>
      <c r="I968">
        <v>10</v>
      </c>
      <c r="M968">
        <v>4</v>
      </c>
      <c r="N968">
        <v>0</v>
      </c>
      <c r="O968">
        <v>0</v>
      </c>
      <c r="P968">
        <v>37.16</v>
      </c>
      <c r="Q968">
        <v>28</v>
      </c>
      <c r="R968">
        <v>28</v>
      </c>
      <c r="S968">
        <v>6</v>
      </c>
      <c r="T968">
        <v>0</v>
      </c>
      <c r="U968" s="1">
        <v>0</v>
      </c>
      <c r="V968">
        <v>71.16</v>
      </c>
    </row>
    <row r="969" spans="1:22" ht="15">
      <c r="A969" s="4">
        <v>962</v>
      </c>
      <c r="B969">
        <v>3192</v>
      </c>
      <c r="C969" t="s">
        <v>2272</v>
      </c>
      <c r="D969" t="s">
        <v>14</v>
      </c>
      <c r="E969" t="s">
        <v>15</v>
      </c>
      <c r="F969" t="s">
        <v>2273</v>
      </c>
      <c r="G969" t="str">
        <f>"00193042"</f>
        <v>00193042</v>
      </c>
      <c r="H969">
        <v>36.08</v>
      </c>
      <c r="I969">
        <v>10</v>
      </c>
      <c r="L969">
        <v>4</v>
      </c>
      <c r="M969">
        <v>4</v>
      </c>
      <c r="N969">
        <v>4</v>
      </c>
      <c r="O969">
        <v>0</v>
      </c>
      <c r="P969">
        <v>54.08</v>
      </c>
      <c r="Q969">
        <v>8</v>
      </c>
      <c r="R969">
        <v>8</v>
      </c>
      <c r="S969">
        <v>9</v>
      </c>
      <c r="T969">
        <v>0</v>
      </c>
      <c r="U969" s="1">
        <v>0</v>
      </c>
      <c r="V969">
        <v>71.08</v>
      </c>
    </row>
    <row r="970" spans="1:22" ht="15">
      <c r="A970" s="4">
        <v>963</v>
      </c>
      <c r="B970">
        <v>3316</v>
      </c>
      <c r="C970" t="s">
        <v>150</v>
      </c>
      <c r="D970" t="s">
        <v>723</v>
      </c>
      <c r="E970" t="s">
        <v>11</v>
      </c>
      <c r="F970" t="s">
        <v>2274</v>
      </c>
      <c r="G970" t="str">
        <f>"00500124"</f>
        <v>00500124</v>
      </c>
      <c r="H970">
        <v>36</v>
      </c>
      <c r="I970">
        <v>10</v>
      </c>
      <c r="M970">
        <v>0</v>
      </c>
      <c r="N970">
        <v>0</v>
      </c>
      <c r="O970">
        <v>0</v>
      </c>
      <c r="P970">
        <v>46</v>
      </c>
      <c r="Q970">
        <v>25</v>
      </c>
      <c r="R970">
        <v>25</v>
      </c>
      <c r="S970">
        <v>0</v>
      </c>
      <c r="T970">
        <v>0</v>
      </c>
      <c r="U970" s="1">
        <v>0</v>
      </c>
      <c r="V970">
        <v>71</v>
      </c>
    </row>
    <row r="971" spans="1:22" ht="15">
      <c r="A971" s="4">
        <v>964</v>
      </c>
      <c r="B971">
        <v>114</v>
      </c>
      <c r="C971" t="s">
        <v>2275</v>
      </c>
      <c r="D971" t="s">
        <v>357</v>
      </c>
      <c r="E971" t="s">
        <v>334</v>
      </c>
      <c r="F971">
        <v>265839</v>
      </c>
      <c r="G971" t="str">
        <f>"00162945"</f>
        <v>00162945</v>
      </c>
      <c r="H971">
        <v>0</v>
      </c>
      <c r="I971">
        <v>0</v>
      </c>
      <c r="M971">
        <v>4</v>
      </c>
      <c r="N971">
        <v>0</v>
      </c>
      <c r="O971">
        <v>0</v>
      </c>
      <c r="P971">
        <v>4</v>
      </c>
      <c r="Q971">
        <v>67</v>
      </c>
      <c r="R971">
        <v>67</v>
      </c>
      <c r="S971">
        <v>0</v>
      </c>
      <c r="T971">
        <v>0</v>
      </c>
      <c r="U971" s="1">
        <v>0</v>
      </c>
      <c r="V971">
        <v>71</v>
      </c>
    </row>
    <row r="972" spans="1:22" ht="15">
      <c r="A972" s="4">
        <v>965</v>
      </c>
      <c r="B972">
        <v>1526</v>
      </c>
      <c r="C972" t="s">
        <v>1172</v>
      </c>
      <c r="D972" t="s">
        <v>211</v>
      </c>
      <c r="E972" t="s">
        <v>73</v>
      </c>
      <c r="F972" t="s">
        <v>2276</v>
      </c>
      <c r="G972" t="str">
        <f>"00450029"</f>
        <v>00450029</v>
      </c>
      <c r="H972">
        <v>64.8</v>
      </c>
      <c r="I972">
        <v>0</v>
      </c>
      <c r="M972">
        <v>4</v>
      </c>
      <c r="N972">
        <v>0</v>
      </c>
      <c r="O972">
        <v>2</v>
      </c>
      <c r="P972">
        <v>70.8</v>
      </c>
      <c r="Q972">
        <v>0</v>
      </c>
      <c r="R972">
        <v>0</v>
      </c>
      <c r="S972">
        <v>0</v>
      </c>
      <c r="T972">
        <v>0</v>
      </c>
      <c r="U972" s="1">
        <v>0</v>
      </c>
      <c r="V972">
        <v>70.8</v>
      </c>
    </row>
    <row r="973" spans="1:22" ht="15">
      <c r="A973" s="4">
        <v>966</v>
      </c>
      <c r="B973">
        <v>2016</v>
      </c>
      <c r="C973" t="s">
        <v>2277</v>
      </c>
      <c r="D973" t="s">
        <v>102</v>
      </c>
      <c r="E973" t="s">
        <v>11</v>
      </c>
      <c r="F973" t="s">
        <v>2278</v>
      </c>
      <c r="G973" t="str">
        <f>"00208540"</f>
        <v>00208540</v>
      </c>
      <c r="H973">
        <v>64.8</v>
      </c>
      <c r="I973">
        <v>0</v>
      </c>
      <c r="M973">
        <v>0</v>
      </c>
      <c r="N973">
        <v>0</v>
      </c>
      <c r="O973">
        <v>0</v>
      </c>
      <c r="P973">
        <v>64.8</v>
      </c>
      <c r="Q973">
        <v>0</v>
      </c>
      <c r="R973">
        <v>0</v>
      </c>
      <c r="S973">
        <v>6</v>
      </c>
      <c r="T973">
        <v>0</v>
      </c>
      <c r="U973" s="1">
        <v>0</v>
      </c>
      <c r="V973">
        <v>70.8</v>
      </c>
    </row>
    <row r="974" spans="1:22" ht="15">
      <c r="A974" s="4">
        <v>967</v>
      </c>
      <c r="B974">
        <v>787</v>
      </c>
      <c r="C974" t="s">
        <v>2279</v>
      </c>
      <c r="D974" t="s">
        <v>68</v>
      </c>
      <c r="E974" t="s">
        <v>19</v>
      </c>
      <c r="F974" t="s">
        <v>2280</v>
      </c>
      <c r="G974" t="str">
        <f>"00483835"</f>
        <v>00483835</v>
      </c>
      <c r="H974">
        <v>21.76</v>
      </c>
      <c r="I974">
        <v>0</v>
      </c>
      <c r="L974">
        <v>4</v>
      </c>
      <c r="M974">
        <v>4</v>
      </c>
      <c r="N974">
        <v>4</v>
      </c>
      <c r="O974">
        <v>0</v>
      </c>
      <c r="P974">
        <v>29.76</v>
      </c>
      <c r="Q974">
        <v>41</v>
      </c>
      <c r="R974">
        <v>41</v>
      </c>
      <c r="S974">
        <v>0</v>
      </c>
      <c r="T974">
        <v>0</v>
      </c>
      <c r="U974" s="1">
        <v>0</v>
      </c>
      <c r="V974">
        <v>70.76</v>
      </c>
    </row>
    <row r="975" spans="1:22" ht="15">
      <c r="A975" s="4">
        <v>968</v>
      </c>
      <c r="B975">
        <v>2011</v>
      </c>
      <c r="C975" t="s">
        <v>2281</v>
      </c>
      <c r="D975" t="s">
        <v>582</v>
      </c>
      <c r="E975" t="s">
        <v>19</v>
      </c>
      <c r="F975" t="s">
        <v>2282</v>
      </c>
      <c r="G975" t="str">
        <f>"00503203"</f>
        <v>00503203</v>
      </c>
      <c r="H975">
        <v>34.68</v>
      </c>
      <c r="I975">
        <v>0</v>
      </c>
      <c r="L975">
        <v>4</v>
      </c>
      <c r="M975">
        <v>0</v>
      </c>
      <c r="N975">
        <v>4</v>
      </c>
      <c r="O975">
        <v>0</v>
      </c>
      <c r="P975">
        <v>38.68</v>
      </c>
      <c r="Q975">
        <v>26</v>
      </c>
      <c r="R975">
        <v>26</v>
      </c>
      <c r="S975">
        <v>6</v>
      </c>
      <c r="T975">
        <v>0</v>
      </c>
      <c r="U975" s="1">
        <v>0</v>
      </c>
      <c r="V975">
        <v>70.68</v>
      </c>
    </row>
    <row r="976" spans="1:22" ht="15">
      <c r="A976" s="4">
        <v>969</v>
      </c>
      <c r="B976">
        <v>388</v>
      </c>
      <c r="C976" t="s">
        <v>2283</v>
      </c>
      <c r="D976" t="s">
        <v>339</v>
      </c>
      <c r="E976" t="s">
        <v>11</v>
      </c>
      <c r="F976" t="s">
        <v>2284</v>
      </c>
      <c r="G976" t="str">
        <f>"201511032572"</f>
        <v>201511032572</v>
      </c>
      <c r="H976">
        <v>35.6</v>
      </c>
      <c r="I976">
        <v>0</v>
      </c>
      <c r="L976">
        <v>4</v>
      </c>
      <c r="M976">
        <v>4</v>
      </c>
      <c r="N976">
        <v>4</v>
      </c>
      <c r="O976">
        <v>2</v>
      </c>
      <c r="P976">
        <v>45.6</v>
      </c>
      <c r="Q976">
        <v>25</v>
      </c>
      <c r="R976">
        <v>25</v>
      </c>
      <c r="S976">
        <v>0</v>
      </c>
      <c r="T976">
        <v>0</v>
      </c>
      <c r="U976" s="1">
        <v>0</v>
      </c>
      <c r="V976">
        <v>70.6</v>
      </c>
    </row>
    <row r="977" spans="1:22" ht="15">
      <c r="A977" s="4">
        <v>970</v>
      </c>
      <c r="B977">
        <v>3010</v>
      </c>
      <c r="C977" t="s">
        <v>1350</v>
      </c>
      <c r="D977" t="s">
        <v>121</v>
      </c>
      <c r="E977" t="s">
        <v>19</v>
      </c>
      <c r="F977" t="s">
        <v>2285</v>
      </c>
      <c r="G977" t="str">
        <f>"00441540"</f>
        <v>00441540</v>
      </c>
      <c r="H977">
        <v>21.6</v>
      </c>
      <c r="I977">
        <v>0</v>
      </c>
      <c r="J977">
        <v>8</v>
      </c>
      <c r="M977">
        <v>4</v>
      </c>
      <c r="N977">
        <v>8</v>
      </c>
      <c r="O977">
        <v>2</v>
      </c>
      <c r="P977">
        <v>35.6</v>
      </c>
      <c r="Q977">
        <v>32</v>
      </c>
      <c r="R977">
        <v>32</v>
      </c>
      <c r="S977">
        <v>3</v>
      </c>
      <c r="T977">
        <v>0</v>
      </c>
      <c r="U977" s="1">
        <v>0</v>
      </c>
      <c r="V977">
        <v>70.6</v>
      </c>
    </row>
    <row r="978" spans="1:22" ht="15">
      <c r="A978" s="4">
        <v>971</v>
      </c>
      <c r="B978">
        <v>160</v>
      </c>
      <c r="C978" t="s">
        <v>2286</v>
      </c>
      <c r="D978" t="s">
        <v>76</v>
      </c>
      <c r="E978" t="s">
        <v>167</v>
      </c>
      <c r="F978" t="s">
        <v>2287</v>
      </c>
      <c r="G978" t="str">
        <f>"201406004051"</f>
        <v>201406004051</v>
      </c>
      <c r="H978">
        <v>21.6</v>
      </c>
      <c r="I978">
        <v>10</v>
      </c>
      <c r="K978">
        <v>6</v>
      </c>
      <c r="M978">
        <v>4</v>
      </c>
      <c r="N978">
        <v>6</v>
      </c>
      <c r="O978">
        <v>0</v>
      </c>
      <c r="P978">
        <v>41.6</v>
      </c>
      <c r="Q978">
        <v>20</v>
      </c>
      <c r="R978">
        <v>20</v>
      </c>
      <c r="S978">
        <v>9</v>
      </c>
      <c r="T978">
        <v>0</v>
      </c>
      <c r="U978" s="1">
        <v>0</v>
      </c>
      <c r="V978">
        <v>70.6</v>
      </c>
    </row>
    <row r="979" spans="1:22" ht="15">
      <c r="A979" s="4">
        <v>972</v>
      </c>
      <c r="B979">
        <v>2952</v>
      </c>
      <c r="C979" t="s">
        <v>2288</v>
      </c>
      <c r="D979" t="s">
        <v>1397</v>
      </c>
      <c r="E979" t="s">
        <v>55</v>
      </c>
      <c r="F979" t="s">
        <v>2289</v>
      </c>
      <c r="G979" t="str">
        <f>"00157542"</f>
        <v>00157542</v>
      </c>
      <c r="H979">
        <v>21.6</v>
      </c>
      <c r="I979">
        <v>0</v>
      </c>
      <c r="M979">
        <v>0</v>
      </c>
      <c r="N979">
        <v>0</v>
      </c>
      <c r="O979">
        <v>0</v>
      </c>
      <c r="P979">
        <v>21.6</v>
      </c>
      <c r="Q979">
        <v>43</v>
      </c>
      <c r="R979">
        <v>43</v>
      </c>
      <c r="S979">
        <v>6</v>
      </c>
      <c r="T979">
        <v>0</v>
      </c>
      <c r="U979" s="1">
        <v>0</v>
      </c>
      <c r="V979">
        <v>70.6</v>
      </c>
    </row>
    <row r="980" spans="1:22" ht="15">
      <c r="A980" s="4">
        <v>973</v>
      </c>
      <c r="B980">
        <v>837</v>
      </c>
      <c r="C980" t="s">
        <v>2290</v>
      </c>
      <c r="D980" t="s">
        <v>2291</v>
      </c>
      <c r="E980" t="s">
        <v>2292</v>
      </c>
      <c r="F980" t="s">
        <v>2293</v>
      </c>
      <c r="G980" t="str">
        <f>"00506467"</f>
        <v>00506467</v>
      </c>
      <c r="H980">
        <v>57.6</v>
      </c>
      <c r="I980">
        <v>0</v>
      </c>
      <c r="M980">
        <v>4</v>
      </c>
      <c r="N980">
        <v>0</v>
      </c>
      <c r="O980">
        <v>0</v>
      </c>
      <c r="P980">
        <v>61.6</v>
      </c>
      <c r="Q980">
        <v>0</v>
      </c>
      <c r="R980">
        <v>0</v>
      </c>
      <c r="S980">
        <v>9</v>
      </c>
      <c r="T980">
        <v>0</v>
      </c>
      <c r="U980" s="1">
        <v>0</v>
      </c>
      <c r="V980">
        <v>70.6</v>
      </c>
    </row>
    <row r="981" spans="1:22" ht="15">
      <c r="A981" s="4">
        <v>974</v>
      </c>
      <c r="B981">
        <v>1715</v>
      </c>
      <c r="C981" t="s">
        <v>2294</v>
      </c>
      <c r="D981" t="s">
        <v>26</v>
      </c>
      <c r="E981" t="s">
        <v>19</v>
      </c>
      <c r="F981" t="s">
        <v>2295</v>
      </c>
      <c r="G981" t="str">
        <f>"00530958"</f>
        <v>00530958</v>
      </c>
      <c r="H981">
        <v>57.6</v>
      </c>
      <c r="I981">
        <v>10</v>
      </c>
      <c r="M981">
        <v>0</v>
      </c>
      <c r="N981">
        <v>0</v>
      </c>
      <c r="O981">
        <v>0</v>
      </c>
      <c r="P981">
        <v>67.6</v>
      </c>
      <c r="Q981">
        <v>0</v>
      </c>
      <c r="R981">
        <v>0</v>
      </c>
      <c r="S981">
        <v>3</v>
      </c>
      <c r="T981">
        <v>0</v>
      </c>
      <c r="U981" s="1">
        <v>0</v>
      </c>
      <c r="V981">
        <v>70.6</v>
      </c>
    </row>
    <row r="982" spans="1:22" ht="15">
      <c r="A982" s="4">
        <v>975</v>
      </c>
      <c r="B982">
        <v>546</v>
      </c>
      <c r="C982" t="s">
        <v>2296</v>
      </c>
      <c r="D982" t="s">
        <v>643</v>
      </c>
      <c r="E982" t="s">
        <v>15</v>
      </c>
      <c r="F982" t="s">
        <v>2297</v>
      </c>
      <c r="G982" t="str">
        <f>"00528716"</f>
        <v>00528716</v>
      </c>
      <c r="H982">
        <v>23.44</v>
      </c>
      <c r="I982">
        <v>0</v>
      </c>
      <c r="M982">
        <v>0</v>
      </c>
      <c r="N982">
        <v>0</v>
      </c>
      <c r="O982">
        <v>0</v>
      </c>
      <c r="P982">
        <v>23.44</v>
      </c>
      <c r="Q982">
        <v>44</v>
      </c>
      <c r="R982">
        <v>44</v>
      </c>
      <c r="S982">
        <v>3</v>
      </c>
      <c r="T982">
        <v>0</v>
      </c>
      <c r="U982" s="1">
        <v>0</v>
      </c>
      <c r="V982">
        <v>70.44</v>
      </c>
    </row>
    <row r="983" spans="1:22" ht="15">
      <c r="A983" s="4">
        <v>976</v>
      </c>
      <c r="B983">
        <v>3042</v>
      </c>
      <c r="C983" t="s">
        <v>2298</v>
      </c>
      <c r="D983" t="s">
        <v>189</v>
      </c>
      <c r="E983" t="s">
        <v>15</v>
      </c>
      <c r="F983" t="s">
        <v>2299</v>
      </c>
      <c r="G983" t="str">
        <f>"00113759"</f>
        <v>00113759</v>
      </c>
      <c r="H983">
        <v>50.4</v>
      </c>
      <c r="I983">
        <v>10</v>
      </c>
      <c r="K983">
        <v>6</v>
      </c>
      <c r="M983">
        <v>4</v>
      </c>
      <c r="N983">
        <v>6</v>
      </c>
      <c r="O983">
        <v>0</v>
      </c>
      <c r="P983">
        <v>70.4</v>
      </c>
      <c r="Q983">
        <v>0</v>
      </c>
      <c r="R983">
        <v>0</v>
      </c>
      <c r="S983">
        <v>0</v>
      </c>
      <c r="T983">
        <v>0</v>
      </c>
      <c r="U983" s="1">
        <v>0</v>
      </c>
      <c r="V983">
        <v>70.4</v>
      </c>
    </row>
    <row r="984" spans="1:22" ht="15">
      <c r="A984" s="4">
        <v>977</v>
      </c>
      <c r="B984">
        <v>1800</v>
      </c>
      <c r="C984" t="s">
        <v>2300</v>
      </c>
      <c r="D984" t="s">
        <v>160</v>
      </c>
      <c r="E984" t="s">
        <v>15</v>
      </c>
      <c r="F984" t="s">
        <v>2301</v>
      </c>
      <c r="G984" t="str">
        <f>"201406005096"</f>
        <v>201406005096</v>
      </c>
      <c r="H984">
        <v>50.4</v>
      </c>
      <c r="I984">
        <v>0</v>
      </c>
      <c r="J984">
        <v>8</v>
      </c>
      <c r="M984">
        <v>4</v>
      </c>
      <c r="N984">
        <v>8</v>
      </c>
      <c r="O984">
        <v>0</v>
      </c>
      <c r="P984">
        <v>62.4</v>
      </c>
      <c r="Q984">
        <v>8</v>
      </c>
      <c r="R984">
        <v>8</v>
      </c>
      <c r="S984">
        <v>0</v>
      </c>
      <c r="T984">
        <v>0</v>
      </c>
      <c r="U984" s="1" t="s">
        <v>6251</v>
      </c>
      <c r="V984">
        <v>70.4</v>
      </c>
    </row>
    <row r="985" spans="1:22" ht="15">
      <c r="A985" s="4">
        <v>978</v>
      </c>
      <c r="B985">
        <v>660</v>
      </c>
      <c r="C985" t="s">
        <v>2302</v>
      </c>
      <c r="D985" t="s">
        <v>582</v>
      </c>
      <c r="E985" t="s">
        <v>197</v>
      </c>
      <c r="F985" t="s">
        <v>2303</v>
      </c>
      <c r="G985" t="str">
        <f>"00155759"</f>
        <v>00155759</v>
      </c>
      <c r="H985">
        <v>30.4</v>
      </c>
      <c r="I985">
        <v>0</v>
      </c>
      <c r="M985">
        <v>4</v>
      </c>
      <c r="N985">
        <v>0</v>
      </c>
      <c r="O985">
        <v>0</v>
      </c>
      <c r="P985">
        <v>34.4</v>
      </c>
      <c r="Q985">
        <v>30</v>
      </c>
      <c r="R985">
        <v>30</v>
      </c>
      <c r="S985">
        <v>6</v>
      </c>
      <c r="T985">
        <v>0</v>
      </c>
      <c r="U985" s="1">
        <v>0</v>
      </c>
      <c r="V985">
        <v>70.4</v>
      </c>
    </row>
    <row r="986" spans="1:22" ht="15">
      <c r="A986" s="4">
        <v>979</v>
      </c>
      <c r="B986">
        <v>1492</v>
      </c>
      <c r="C986" t="s">
        <v>2304</v>
      </c>
      <c r="D986" t="s">
        <v>102</v>
      </c>
      <c r="E986" t="s">
        <v>30</v>
      </c>
      <c r="F986" t="s">
        <v>2305</v>
      </c>
      <c r="G986" t="str">
        <f>"00475535"</f>
        <v>00475535</v>
      </c>
      <c r="H986">
        <v>50.4</v>
      </c>
      <c r="I986">
        <v>0</v>
      </c>
      <c r="J986">
        <v>8</v>
      </c>
      <c r="M986">
        <v>4</v>
      </c>
      <c r="N986">
        <v>8</v>
      </c>
      <c r="O986">
        <v>0</v>
      </c>
      <c r="P986">
        <v>62.4</v>
      </c>
      <c r="Q986">
        <v>8</v>
      </c>
      <c r="R986">
        <v>8</v>
      </c>
      <c r="S986">
        <v>0</v>
      </c>
      <c r="T986">
        <v>0</v>
      </c>
      <c r="U986" s="1">
        <v>0</v>
      </c>
      <c r="V986">
        <v>70.4</v>
      </c>
    </row>
    <row r="987" spans="1:22" ht="15">
      <c r="A987" s="4">
        <v>980</v>
      </c>
      <c r="B987">
        <v>1706</v>
      </c>
      <c r="C987" t="s">
        <v>2306</v>
      </c>
      <c r="D987" t="s">
        <v>130</v>
      </c>
      <c r="E987" t="s">
        <v>1497</v>
      </c>
      <c r="F987" t="s">
        <v>2307</v>
      </c>
      <c r="G987" t="str">
        <f>"00530227"</f>
        <v>00530227</v>
      </c>
      <c r="H987">
        <v>14.4</v>
      </c>
      <c r="I987">
        <v>0</v>
      </c>
      <c r="L987">
        <v>4</v>
      </c>
      <c r="M987">
        <v>0</v>
      </c>
      <c r="N987">
        <v>4</v>
      </c>
      <c r="O987">
        <v>0</v>
      </c>
      <c r="P987">
        <v>18.4</v>
      </c>
      <c r="Q987">
        <v>52</v>
      </c>
      <c r="R987">
        <v>52</v>
      </c>
      <c r="S987">
        <v>0</v>
      </c>
      <c r="T987">
        <v>0</v>
      </c>
      <c r="U987" s="1">
        <v>0</v>
      </c>
      <c r="V987">
        <v>70.4</v>
      </c>
    </row>
    <row r="988" spans="1:22" ht="15">
      <c r="A988" s="4">
        <v>981</v>
      </c>
      <c r="B988">
        <v>2894</v>
      </c>
      <c r="C988" t="s">
        <v>2308</v>
      </c>
      <c r="D988" t="s">
        <v>179</v>
      </c>
      <c r="E988" t="s">
        <v>2309</v>
      </c>
      <c r="F988" t="s">
        <v>2310</v>
      </c>
      <c r="G988" t="str">
        <f>"00504377"</f>
        <v>00504377</v>
      </c>
      <c r="H988">
        <v>20.28</v>
      </c>
      <c r="I988">
        <v>0</v>
      </c>
      <c r="M988">
        <v>4</v>
      </c>
      <c r="N988">
        <v>0</v>
      </c>
      <c r="O988">
        <v>0</v>
      </c>
      <c r="P988">
        <v>24.28</v>
      </c>
      <c r="Q988">
        <v>40</v>
      </c>
      <c r="R988">
        <v>40</v>
      </c>
      <c r="S988">
        <v>6</v>
      </c>
      <c r="T988">
        <v>0</v>
      </c>
      <c r="U988" s="1">
        <v>0</v>
      </c>
      <c r="V988">
        <v>70.28</v>
      </c>
    </row>
    <row r="989" spans="1:22" ht="15">
      <c r="A989" s="4">
        <v>982</v>
      </c>
      <c r="B989">
        <v>3319</v>
      </c>
      <c r="C989" t="s">
        <v>2311</v>
      </c>
      <c r="D989" t="s">
        <v>14</v>
      </c>
      <c r="E989" t="s">
        <v>877</v>
      </c>
      <c r="F989" t="s">
        <v>2312</v>
      </c>
      <c r="G989" t="str">
        <f>"00161262"</f>
        <v>00161262</v>
      </c>
      <c r="H989">
        <v>43.2</v>
      </c>
      <c r="I989">
        <v>0</v>
      </c>
      <c r="M989">
        <v>4</v>
      </c>
      <c r="N989">
        <v>0</v>
      </c>
      <c r="O989">
        <v>0</v>
      </c>
      <c r="P989">
        <v>47.2</v>
      </c>
      <c r="Q989">
        <v>23</v>
      </c>
      <c r="R989">
        <v>23</v>
      </c>
      <c r="S989">
        <v>0</v>
      </c>
      <c r="T989">
        <v>0</v>
      </c>
      <c r="U989" s="1">
        <v>0</v>
      </c>
      <c r="V989">
        <v>70.2</v>
      </c>
    </row>
    <row r="990" spans="1:22" ht="15">
      <c r="A990" s="4">
        <v>983</v>
      </c>
      <c r="B990">
        <v>133</v>
      </c>
      <c r="C990" t="s">
        <v>2313</v>
      </c>
      <c r="D990" t="s">
        <v>137</v>
      </c>
      <c r="E990" t="s">
        <v>19</v>
      </c>
      <c r="F990" t="s">
        <v>2314</v>
      </c>
      <c r="G990" t="str">
        <f>"00186693"</f>
        <v>00186693</v>
      </c>
      <c r="H990">
        <v>43.2</v>
      </c>
      <c r="I990">
        <v>10</v>
      </c>
      <c r="L990">
        <v>4</v>
      </c>
      <c r="M990">
        <v>4</v>
      </c>
      <c r="N990">
        <v>4</v>
      </c>
      <c r="O990">
        <v>0</v>
      </c>
      <c r="P990">
        <v>61.2</v>
      </c>
      <c r="Q990">
        <v>0</v>
      </c>
      <c r="R990">
        <v>0</v>
      </c>
      <c r="S990">
        <v>9</v>
      </c>
      <c r="T990">
        <v>0</v>
      </c>
      <c r="U990" s="1">
        <v>0</v>
      </c>
      <c r="V990">
        <v>70.2</v>
      </c>
    </row>
    <row r="991" spans="1:22" ht="15">
      <c r="A991" s="4">
        <v>984</v>
      </c>
      <c r="B991">
        <v>3095</v>
      </c>
      <c r="C991" t="s">
        <v>2315</v>
      </c>
      <c r="D991" t="s">
        <v>93</v>
      </c>
      <c r="E991" t="s">
        <v>11</v>
      </c>
      <c r="F991" t="s">
        <v>2316</v>
      </c>
      <c r="G991" t="str">
        <f>"00530960"</f>
        <v>00530960</v>
      </c>
      <c r="H991">
        <v>43.2</v>
      </c>
      <c r="I991">
        <v>0</v>
      </c>
      <c r="L991">
        <v>4</v>
      </c>
      <c r="M991">
        <v>0</v>
      </c>
      <c r="N991">
        <v>4</v>
      </c>
      <c r="O991">
        <v>0</v>
      </c>
      <c r="P991">
        <v>47.2</v>
      </c>
      <c r="Q991">
        <v>23</v>
      </c>
      <c r="R991">
        <v>23</v>
      </c>
      <c r="S991">
        <v>0</v>
      </c>
      <c r="T991">
        <v>0</v>
      </c>
      <c r="U991" s="1">
        <v>0</v>
      </c>
      <c r="V991">
        <v>70.2</v>
      </c>
    </row>
    <row r="992" spans="1:22" ht="15">
      <c r="A992" s="4">
        <v>985</v>
      </c>
      <c r="B992">
        <v>1365</v>
      </c>
      <c r="C992" t="s">
        <v>2317</v>
      </c>
      <c r="D992" t="s">
        <v>102</v>
      </c>
      <c r="E992" t="s">
        <v>83</v>
      </c>
      <c r="F992" t="s">
        <v>2318</v>
      </c>
      <c r="G992" t="str">
        <f>"00531359"</f>
        <v>00531359</v>
      </c>
      <c r="H992">
        <v>43.2</v>
      </c>
      <c r="I992">
        <v>10</v>
      </c>
      <c r="M992">
        <v>0</v>
      </c>
      <c r="N992">
        <v>0</v>
      </c>
      <c r="O992">
        <v>0</v>
      </c>
      <c r="P992">
        <v>53.2</v>
      </c>
      <c r="Q992">
        <v>17</v>
      </c>
      <c r="R992">
        <v>17</v>
      </c>
      <c r="S992">
        <v>0</v>
      </c>
      <c r="T992">
        <v>0</v>
      </c>
      <c r="U992" s="1">
        <v>0</v>
      </c>
      <c r="V992">
        <v>70.2</v>
      </c>
    </row>
    <row r="993" spans="1:22" ht="15">
      <c r="A993" s="4">
        <v>986</v>
      </c>
      <c r="B993">
        <v>2760</v>
      </c>
      <c r="C993" t="s">
        <v>2319</v>
      </c>
      <c r="D993" t="s">
        <v>11</v>
      </c>
      <c r="E993" t="s">
        <v>19</v>
      </c>
      <c r="F993" t="s">
        <v>2320</v>
      </c>
      <c r="G993" t="str">
        <f>"00490540"</f>
        <v>00490540</v>
      </c>
      <c r="H993">
        <v>36</v>
      </c>
      <c r="I993">
        <v>0</v>
      </c>
      <c r="M993">
        <v>4</v>
      </c>
      <c r="N993">
        <v>0</v>
      </c>
      <c r="O993">
        <v>0</v>
      </c>
      <c r="P993">
        <v>40</v>
      </c>
      <c r="Q993">
        <v>18</v>
      </c>
      <c r="R993">
        <v>18</v>
      </c>
      <c r="S993">
        <v>12</v>
      </c>
      <c r="T993">
        <v>0</v>
      </c>
      <c r="U993" s="1">
        <v>0</v>
      </c>
      <c r="V993">
        <v>70</v>
      </c>
    </row>
    <row r="994" spans="1:22" ht="15">
      <c r="A994" s="4">
        <v>987</v>
      </c>
      <c r="B994">
        <v>97</v>
      </c>
      <c r="C994" t="s">
        <v>2321</v>
      </c>
      <c r="D994" t="s">
        <v>839</v>
      </c>
      <c r="E994" t="s">
        <v>51</v>
      </c>
      <c r="F994" t="s">
        <v>2322</v>
      </c>
      <c r="G994" t="str">
        <f>"00483118"</f>
        <v>00483118</v>
      </c>
      <c r="H994">
        <v>36</v>
      </c>
      <c r="I994">
        <v>0</v>
      </c>
      <c r="M994">
        <v>0</v>
      </c>
      <c r="N994">
        <v>0</v>
      </c>
      <c r="O994">
        <v>0</v>
      </c>
      <c r="P994">
        <v>36</v>
      </c>
      <c r="Q994">
        <v>34</v>
      </c>
      <c r="R994">
        <v>34</v>
      </c>
      <c r="S994">
        <v>0</v>
      </c>
      <c r="T994">
        <v>0</v>
      </c>
      <c r="U994" s="1">
        <v>0</v>
      </c>
      <c r="V994">
        <v>70</v>
      </c>
    </row>
    <row r="995" spans="1:22" ht="15">
      <c r="A995" s="4">
        <v>988</v>
      </c>
      <c r="B995">
        <v>2853</v>
      </c>
      <c r="C995" t="s">
        <v>2323</v>
      </c>
      <c r="D995" t="s">
        <v>40</v>
      </c>
      <c r="E995" t="s">
        <v>69</v>
      </c>
      <c r="F995" t="s">
        <v>2324</v>
      </c>
      <c r="G995" t="str">
        <f>"00534134"</f>
        <v>00534134</v>
      </c>
      <c r="H995">
        <v>32</v>
      </c>
      <c r="I995">
        <v>0</v>
      </c>
      <c r="M995">
        <v>0</v>
      </c>
      <c r="N995">
        <v>0</v>
      </c>
      <c r="O995">
        <v>0</v>
      </c>
      <c r="P995">
        <v>32</v>
      </c>
      <c r="Q995">
        <v>0</v>
      </c>
      <c r="R995">
        <v>0</v>
      </c>
      <c r="S995">
        <v>6</v>
      </c>
      <c r="T995">
        <v>32</v>
      </c>
      <c r="U995" s="1">
        <v>0</v>
      </c>
      <c r="V995">
        <v>70</v>
      </c>
    </row>
    <row r="996" spans="1:22" ht="15">
      <c r="A996" s="4">
        <v>989</v>
      </c>
      <c r="B996">
        <v>2133</v>
      </c>
      <c r="C996" t="s">
        <v>2325</v>
      </c>
      <c r="D996" t="s">
        <v>14</v>
      </c>
      <c r="E996" t="s">
        <v>11</v>
      </c>
      <c r="F996" t="s">
        <v>2326</v>
      </c>
      <c r="G996" t="str">
        <f>"00480027"</f>
        <v>00480027</v>
      </c>
      <c r="H996">
        <v>40</v>
      </c>
      <c r="I996">
        <v>0</v>
      </c>
      <c r="M996">
        <v>4</v>
      </c>
      <c r="N996">
        <v>0</v>
      </c>
      <c r="O996">
        <v>0</v>
      </c>
      <c r="P996">
        <v>44</v>
      </c>
      <c r="Q996">
        <v>20</v>
      </c>
      <c r="R996">
        <v>20</v>
      </c>
      <c r="S996">
        <v>6</v>
      </c>
      <c r="T996">
        <v>0</v>
      </c>
      <c r="U996" s="1">
        <v>0</v>
      </c>
      <c r="V996">
        <v>70</v>
      </c>
    </row>
    <row r="997" spans="1:22" ht="15">
      <c r="A997" s="4">
        <v>990</v>
      </c>
      <c r="B997">
        <v>3194</v>
      </c>
      <c r="C997" t="s">
        <v>2327</v>
      </c>
      <c r="D997" t="s">
        <v>453</v>
      </c>
      <c r="E997" t="s">
        <v>90</v>
      </c>
      <c r="F997" t="s">
        <v>2328</v>
      </c>
      <c r="G997" t="str">
        <f>"201507001728"</f>
        <v>201507001728</v>
      </c>
      <c r="H997">
        <v>37.8</v>
      </c>
      <c r="I997">
        <v>0</v>
      </c>
      <c r="J997">
        <v>8</v>
      </c>
      <c r="M997">
        <v>0</v>
      </c>
      <c r="N997">
        <v>8</v>
      </c>
      <c r="O997">
        <v>0</v>
      </c>
      <c r="P997">
        <v>45.8</v>
      </c>
      <c r="Q997">
        <v>18</v>
      </c>
      <c r="R997">
        <v>18</v>
      </c>
      <c r="S997">
        <v>6</v>
      </c>
      <c r="T997">
        <v>0</v>
      </c>
      <c r="U997" s="1">
        <v>0</v>
      </c>
      <c r="V997">
        <v>69.8</v>
      </c>
    </row>
    <row r="998" spans="1:22" ht="15">
      <c r="A998" s="4">
        <v>991</v>
      </c>
      <c r="B998">
        <v>1154</v>
      </c>
      <c r="C998" t="s">
        <v>2329</v>
      </c>
      <c r="D998" t="s">
        <v>2330</v>
      </c>
      <c r="E998" t="s">
        <v>90</v>
      </c>
      <c r="F998" t="s">
        <v>2331</v>
      </c>
      <c r="G998" t="str">
        <f>"00258268"</f>
        <v>00258268</v>
      </c>
      <c r="H998">
        <v>28.8</v>
      </c>
      <c r="I998">
        <v>0</v>
      </c>
      <c r="L998">
        <v>4</v>
      </c>
      <c r="M998">
        <v>4</v>
      </c>
      <c r="N998">
        <v>4</v>
      </c>
      <c r="O998">
        <v>0</v>
      </c>
      <c r="P998">
        <v>36.8</v>
      </c>
      <c r="Q998">
        <v>33</v>
      </c>
      <c r="R998">
        <v>33</v>
      </c>
      <c r="S998">
        <v>0</v>
      </c>
      <c r="T998">
        <v>0</v>
      </c>
      <c r="U998" s="1">
        <v>0</v>
      </c>
      <c r="V998">
        <v>69.8</v>
      </c>
    </row>
    <row r="999" spans="1:22" ht="15">
      <c r="A999" s="4">
        <v>992</v>
      </c>
      <c r="B999">
        <v>3427</v>
      </c>
      <c r="C999" t="s">
        <v>2332</v>
      </c>
      <c r="D999" t="s">
        <v>643</v>
      </c>
      <c r="E999" t="s">
        <v>90</v>
      </c>
      <c r="F999">
        <v>955902</v>
      </c>
      <c r="G999" t="str">
        <f>"00519812"</f>
        <v>00519812</v>
      </c>
      <c r="H999">
        <v>38.8</v>
      </c>
      <c r="I999">
        <v>0</v>
      </c>
      <c r="M999">
        <v>4</v>
      </c>
      <c r="N999">
        <v>0</v>
      </c>
      <c r="O999">
        <v>0</v>
      </c>
      <c r="P999">
        <v>42.8</v>
      </c>
      <c r="Q999">
        <v>24</v>
      </c>
      <c r="R999">
        <v>24</v>
      </c>
      <c r="S999">
        <v>3</v>
      </c>
      <c r="T999">
        <v>0</v>
      </c>
      <c r="U999" s="1">
        <v>0</v>
      </c>
      <c r="V999">
        <v>69.8</v>
      </c>
    </row>
    <row r="1000" spans="1:22" ht="15">
      <c r="A1000" s="4">
        <v>993</v>
      </c>
      <c r="B1000">
        <v>1693</v>
      </c>
      <c r="C1000" t="s">
        <v>2333</v>
      </c>
      <c r="D1000" t="s">
        <v>339</v>
      </c>
      <c r="E1000" t="s">
        <v>90</v>
      </c>
      <c r="F1000" t="s">
        <v>2334</v>
      </c>
      <c r="G1000" t="str">
        <f>"00530748"</f>
        <v>00530748</v>
      </c>
      <c r="H1000">
        <v>37.76</v>
      </c>
      <c r="I1000">
        <v>0</v>
      </c>
      <c r="M1000">
        <v>4</v>
      </c>
      <c r="N1000">
        <v>0</v>
      </c>
      <c r="O1000">
        <v>0</v>
      </c>
      <c r="P1000">
        <v>41.76</v>
      </c>
      <c r="Q1000">
        <v>25</v>
      </c>
      <c r="R1000">
        <v>25</v>
      </c>
      <c r="S1000">
        <v>3</v>
      </c>
      <c r="T1000">
        <v>0</v>
      </c>
      <c r="U1000" s="1">
        <v>0</v>
      </c>
      <c r="V1000">
        <v>69.76</v>
      </c>
    </row>
    <row r="1001" spans="1:22" ht="15">
      <c r="A1001" s="4">
        <v>994</v>
      </c>
      <c r="B1001">
        <v>2582</v>
      </c>
      <c r="C1001" t="s">
        <v>2335</v>
      </c>
      <c r="D1001" t="s">
        <v>511</v>
      </c>
      <c r="E1001" t="s">
        <v>15</v>
      </c>
      <c r="F1001" t="s">
        <v>2336</v>
      </c>
      <c r="G1001" t="str">
        <f>"00531043"</f>
        <v>00531043</v>
      </c>
      <c r="H1001">
        <v>57.6</v>
      </c>
      <c r="I1001">
        <v>0</v>
      </c>
      <c r="M1001">
        <v>4</v>
      </c>
      <c r="N1001">
        <v>0</v>
      </c>
      <c r="O1001">
        <v>0</v>
      </c>
      <c r="P1001">
        <v>61.6</v>
      </c>
      <c r="Q1001">
        <v>8</v>
      </c>
      <c r="R1001">
        <v>8</v>
      </c>
      <c r="S1001">
        <v>0</v>
      </c>
      <c r="T1001">
        <v>0</v>
      </c>
      <c r="U1001" s="1">
        <v>0</v>
      </c>
      <c r="V1001">
        <v>69.6</v>
      </c>
    </row>
    <row r="1002" spans="1:22" ht="15">
      <c r="A1002" s="4">
        <v>995</v>
      </c>
      <c r="B1002">
        <v>1046</v>
      </c>
      <c r="C1002" t="s">
        <v>2337</v>
      </c>
      <c r="D1002" t="s">
        <v>826</v>
      </c>
      <c r="E1002" t="s">
        <v>19</v>
      </c>
      <c r="F1002" t="s">
        <v>2338</v>
      </c>
      <c r="G1002" t="str">
        <f>"00431947"</f>
        <v>00431947</v>
      </c>
      <c r="H1002">
        <v>57.6</v>
      </c>
      <c r="I1002">
        <v>0</v>
      </c>
      <c r="M1002">
        <v>4</v>
      </c>
      <c r="N1002">
        <v>0</v>
      </c>
      <c r="O1002">
        <v>0</v>
      </c>
      <c r="P1002">
        <v>61.6</v>
      </c>
      <c r="Q1002">
        <v>8</v>
      </c>
      <c r="R1002">
        <v>8</v>
      </c>
      <c r="S1002">
        <v>0</v>
      </c>
      <c r="T1002">
        <v>0</v>
      </c>
      <c r="U1002" s="1">
        <v>0</v>
      </c>
      <c r="V1002">
        <v>69.6</v>
      </c>
    </row>
    <row r="1003" spans="1:22" ht="15">
      <c r="A1003" s="4">
        <v>996</v>
      </c>
      <c r="B1003">
        <v>1278</v>
      </c>
      <c r="C1003" t="s">
        <v>2339</v>
      </c>
      <c r="D1003" t="s">
        <v>14</v>
      </c>
      <c r="E1003" t="s">
        <v>1180</v>
      </c>
      <c r="F1003" t="s">
        <v>2340</v>
      </c>
      <c r="G1003" t="str">
        <f>"00182991"</f>
        <v>00182991</v>
      </c>
      <c r="H1003">
        <v>57.6</v>
      </c>
      <c r="I1003">
        <v>0</v>
      </c>
      <c r="L1003">
        <v>8</v>
      </c>
      <c r="M1003">
        <v>4</v>
      </c>
      <c r="N1003">
        <v>8</v>
      </c>
      <c r="O1003">
        <v>0</v>
      </c>
      <c r="P1003">
        <v>69.6</v>
      </c>
      <c r="Q1003">
        <v>0</v>
      </c>
      <c r="R1003">
        <v>0</v>
      </c>
      <c r="S1003">
        <v>0</v>
      </c>
      <c r="T1003">
        <v>0</v>
      </c>
      <c r="U1003" s="1">
        <v>0</v>
      </c>
      <c r="V1003">
        <v>69.6</v>
      </c>
    </row>
    <row r="1004" spans="1:22" ht="15">
      <c r="A1004" s="4">
        <v>997</v>
      </c>
      <c r="B1004">
        <v>1458</v>
      </c>
      <c r="C1004" t="s">
        <v>2341</v>
      </c>
      <c r="D1004" t="s">
        <v>160</v>
      </c>
      <c r="E1004" t="s">
        <v>242</v>
      </c>
      <c r="F1004" t="s">
        <v>2342</v>
      </c>
      <c r="G1004" t="str">
        <f>"00442325"</f>
        <v>00442325</v>
      </c>
      <c r="H1004">
        <v>39.6</v>
      </c>
      <c r="I1004">
        <v>0</v>
      </c>
      <c r="M1004">
        <v>4</v>
      </c>
      <c r="N1004">
        <v>0</v>
      </c>
      <c r="O1004">
        <v>0</v>
      </c>
      <c r="P1004">
        <v>43.6</v>
      </c>
      <c r="Q1004">
        <v>26</v>
      </c>
      <c r="R1004">
        <v>26</v>
      </c>
      <c r="S1004">
        <v>0</v>
      </c>
      <c r="T1004">
        <v>0</v>
      </c>
      <c r="U1004" s="1">
        <v>0</v>
      </c>
      <c r="V1004">
        <v>69.6</v>
      </c>
    </row>
    <row r="1005" spans="1:22" ht="15">
      <c r="A1005" s="4">
        <v>998</v>
      </c>
      <c r="B1005">
        <v>620</v>
      </c>
      <c r="C1005" t="s">
        <v>2343</v>
      </c>
      <c r="D1005" t="s">
        <v>799</v>
      </c>
      <c r="E1005" t="s">
        <v>90</v>
      </c>
      <c r="F1005" t="s">
        <v>2344</v>
      </c>
      <c r="G1005" t="str">
        <f>"00528554"</f>
        <v>00528554</v>
      </c>
      <c r="H1005">
        <v>57.6</v>
      </c>
      <c r="I1005">
        <v>0</v>
      </c>
      <c r="J1005">
        <v>8</v>
      </c>
      <c r="M1005">
        <v>4</v>
      </c>
      <c r="N1005">
        <v>8</v>
      </c>
      <c r="O1005">
        <v>0</v>
      </c>
      <c r="P1005">
        <v>69.6</v>
      </c>
      <c r="Q1005">
        <v>0</v>
      </c>
      <c r="R1005">
        <v>0</v>
      </c>
      <c r="S1005">
        <v>0</v>
      </c>
      <c r="T1005">
        <v>0</v>
      </c>
      <c r="U1005" s="1">
        <v>0</v>
      </c>
      <c r="V1005">
        <v>69.6</v>
      </c>
    </row>
    <row r="1006" spans="1:22" ht="15">
      <c r="A1006" s="4">
        <v>999</v>
      </c>
      <c r="B1006">
        <v>1346</v>
      </c>
      <c r="C1006" t="s">
        <v>2345</v>
      </c>
      <c r="D1006" t="s">
        <v>193</v>
      </c>
      <c r="E1006" t="s">
        <v>51</v>
      </c>
      <c r="F1006" t="s">
        <v>2346</v>
      </c>
      <c r="G1006" t="str">
        <f>"00531424"</f>
        <v>00531424</v>
      </c>
      <c r="H1006">
        <v>21.44</v>
      </c>
      <c r="I1006">
        <v>0</v>
      </c>
      <c r="L1006">
        <v>4</v>
      </c>
      <c r="M1006">
        <v>0</v>
      </c>
      <c r="N1006">
        <v>4</v>
      </c>
      <c r="O1006">
        <v>0</v>
      </c>
      <c r="P1006">
        <v>25.44</v>
      </c>
      <c r="Q1006">
        <v>18</v>
      </c>
      <c r="R1006">
        <v>18</v>
      </c>
      <c r="S1006">
        <v>6</v>
      </c>
      <c r="T1006">
        <v>20</v>
      </c>
      <c r="U1006" s="1">
        <v>0</v>
      </c>
      <c r="V1006">
        <v>69.44</v>
      </c>
    </row>
    <row r="1007" spans="1:22" ht="15">
      <c r="A1007" s="4">
        <v>1000</v>
      </c>
      <c r="B1007">
        <v>3250</v>
      </c>
      <c r="C1007" t="s">
        <v>2000</v>
      </c>
      <c r="D1007" t="s">
        <v>127</v>
      </c>
      <c r="E1007" t="s">
        <v>41</v>
      </c>
      <c r="F1007" t="s">
        <v>2347</v>
      </c>
      <c r="G1007" t="str">
        <f>"00157421"</f>
        <v>00157421</v>
      </c>
      <c r="H1007">
        <v>30.28</v>
      </c>
      <c r="I1007">
        <v>0</v>
      </c>
      <c r="M1007">
        <v>4</v>
      </c>
      <c r="N1007">
        <v>0</v>
      </c>
      <c r="O1007">
        <v>0</v>
      </c>
      <c r="P1007">
        <v>34.28</v>
      </c>
      <c r="Q1007">
        <v>26</v>
      </c>
      <c r="R1007">
        <v>26</v>
      </c>
      <c r="S1007">
        <v>9</v>
      </c>
      <c r="T1007">
        <v>0</v>
      </c>
      <c r="U1007" s="1">
        <v>0</v>
      </c>
      <c r="V1007">
        <v>69.28</v>
      </c>
    </row>
    <row r="1008" spans="1:22" ht="15">
      <c r="A1008" s="4">
        <v>1001</v>
      </c>
      <c r="B1008">
        <v>553</v>
      </c>
      <c r="C1008" t="s">
        <v>2348</v>
      </c>
      <c r="D1008" t="s">
        <v>156</v>
      </c>
      <c r="E1008" t="s">
        <v>90</v>
      </c>
      <c r="F1008" t="s">
        <v>2349</v>
      </c>
      <c r="G1008" t="str">
        <f>"00525627"</f>
        <v>00525627</v>
      </c>
      <c r="H1008">
        <v>13.24</v>
      </c>
      <c r="I1008">
        <v>0</v>
      </c>
      <c r="M1008">
        <v>4</v>
      </c>
      <c r="N1008">
        <v>0</v>
      </c>
      <c r="O1008">
        <v>0</v>
      </c>
      <c r="P1008">
        <v>17.24</v>
      </c>
      <c r="Q1008">
        <v>49</v>
      </c>
      <c r="R1008">
        <v>49</v>
      </c>
      <c r="S1008">
        <v>3</v>
      </c>
      <c r="T1008">
        <v>0</v>
      </c>
      <c r="U1008" s="1">
        <v>0</v>
      </c>
      <c r="V1008">
        <v>69.24</v>
      </c>
    </row>
    <row r="1009" spans="1:22" ht="15">
      <c r="A1009" s="4">
        <v>1002</v>
      </c>
      <c r="B1009">
        <v>2854</v>
      </c>
      <c r="C1009" t="s">
        <v>2350</v>
      </c>
      <c r="D1009" t="s">
        <v>723</v>
      </c>
      <c r="E1009" t="s">
        <v>51</v>
      </c>
      <c r="F1009" t="s">
        <v>2351</v>
      </c>
      <c r="G1009" t="str">
        <f>"00502907"</f>
        <v>00502907</v>
      </c>
      <c r="H1009">
        <v>43.2</v>
      </c>
      <c r="I1009">
        <v>10</v>
      </c>
      <c r="M1009">
        <v>4</v>
      </c>
      <c r="N1009">
        <v>0</v>
      </c>
      <c r="O1009">
        <v>0</v>
      </c>
      <c r="P1009">
        <v>57.2</v>
      </c>
      <c r="Q1009">
        <v>6</v>
      </c>
      <c r="R1009">
        <v>6</v>
      </c>
      <c r="S1009">
        <v>6</v>
      </c>
      <c r="T1009">
        <v>0</v>
      </c>
      <c r="U1009" s="1">
        <v>0</v>
      </c>
      <c r="V1009">
        <v>69.2</v>
      </c>
    </row>
    <row r="1010" spans="1:22" ht="15">
      <c r="A1010" s="4">
        <v>1003</v>
      </c>
      <c r="B1010">
        <v>2562</v>
      </c>
      <c r="C1010" t="s">
        <v>2352</v>
      </c>
      <c r="D1010" t="s">
        <v>679</v>
      </c>
      <c r="E1010" t="s">
        <v>197</v>
      </c>
      <c r="F1010" t="s">
        <v>2353</v>
      </c>
      <c r="G1010" t="str">
        <f>"00532615"</f>
        <v>00532615</v>
      </c>
      <c r="H1010">
        <v>43.2</v>
      </c>
      <c r="I1010">
        <v>0</v>
      </c>
      <c r="M1010">
        <v>0</v>
      </c>
      <c r="N1010">
        <v>0</v>
      </c>
      <c r="O1010">
        <v>0</v>
      </c>
      <c r="P1010">
        <v>43.2</v>
      </c>
      <c r="Q1010">
        <v>26</v>
      </c>
      <c r="R1010">
        <v>26</v>
      </c>
      <c r="S1010">
        <v>0</v>
      </c>
      <c r="T1010">
        <v>0</v>
      </c>
      <c r="U1010" s="1">
        <v>0</v>
      </c>
      <c r="V1010">
        <v>69.2</v>
      </c>
    </row>
    <row r="1011" spans="1:22" ht="15">
      <c r="A1011" s="4">
        <v>1004</v>
      </c>
      <c r="B1011">
        <v>2994</v>
      </c>
      <c r="C1011" t="s">
        <v>289</v>
      </c>
      <c r="D1011" t="s">
        <v>2354</v>
      </c>
      <c r="E1011" t="s">
        <v>23</v>
      </c>
      <c r="F1011" t="s">
        <v>2355</v>
      </c>
      <c r="G1011" t="str">
        <f>"200802002398"</f>
        <v>200802002398</v>
      </c>
      <c r="H1011">
        <v>39.12</v>
      </c>
      <c r="I1011">
        <v>0</v>
      </c>
      <c r="J1011">
        <v>8</v>
      </c>
      <c r="L1011">
        <v>4</v>
      </c>
      <c r="M1011">
        <v>4</v>
      </c>
      <c r="N1011">
        <v>12</v>
      </c>
      <c r="O1011">
        <v>0</v>
      </c>
      <c r="P1011">
        <v>55.12</v>
      </c>
      <c r="Q1011">
        <v>8</v>
      </c>
      <c r="R1011">
        <v>8</v>
      </c>
      <c r="S1011">
        <v>6</v>
      </c>
      <c r="T1011">
        <v>0</v>
      </c>
      <c r="U1011" s="1">
        <v>0</v>
      </c>
      <c r="V1011">
        <v>69.12</v>
      </c>
    </row>
    <row r="1012" spans="1:22" ht="15">
      <c r="A1012" s="4">
        <v>1005</v>
      </c>
      <c r="B1012">
        <v>2294</v>
      </c>
      <c r="C1012" t="s">
        <v>2356</v>
      </c>
      <c r="D1012" t="s">
        <v>29</v>
      </c>
      <c r="E1012" t="s">
        <v>83</v>
      </c>
      <c r="F1012" t="s">
        <v>2357</v>
      </c>
      <c r="G1012" t="str">
        <f>"00505795"</f>
        <v>00505795</v>
      </c>
      <c r="H1012">
        <v>59.04</v>
      </c>
      <c r="I1012">
        <v>0</v>
      </c>
      <c r="M1012">
        <v>4</v>
      </c>
      <c r="N1012">
        <v>0</v>
      </c>
      <c r="O1012">
        <v>0</v>
      </c>
      <c r="P1012">
        <v>63.04</v>
      </c>
      <c r="Q1012">
        <v>6</v>
      </c>
      <c r="R1012">
        <v>6</v>
      </c>
      <c r="S1012">
        <v>0</v>
      </c>
      <c r="T1012">
        <v>0</v>
      </c>
      <c r="U1012" s="1">
        <v>0</v>
      </c>
      <c r="V1012">
        <v>69.04</v>
      </c>
    </row>
    <row r="1013" spans="1:22" ht="15">
      <c r="A1013" s="4">
        <v>1006</v>
      </c>
      <c r="B1013">
        <v>975</v>
      </c>
      <c r="C1013" t="s">
        <v>2358</v>
      </c>
      <c r="D1013" t="s">
        <v>14</v>
      </c>
      <c r="E1013" t="s">
        <v>59</v>
      </c>
      <c r="F1013" t="s">
        <v>2359</v>
      </c>
      <c r="G1013" t="str">
        <f>"00507124"</f>
        <v>00507124</v>
      </c>
      <c r="H1013">
        <v>36</v>
      </c>
      <c r="I1013">
        <v>10</v>
      </c>
      <c r="M1013">
        <v>0</v>
      </c>
      <c r="N1013">
        <v>0</v>
      </c>
      <c r="O1013">
        <v>0</v>
      </c>
      <c r="P1013">
        <v>46</v>
      </c>
      <c r="Q1013">
        <v>23</v>
      </c>
      <c r="R1013">
        <v>23</v>
      </c>
      <c r="S1013">
        <v>0</v>
      </c>
      <c r="T1013">
        <v>0</v>
      </c>
      <c r="U1013" s="1">
        <v>0</v>
      </c>
      <c r="V1013">
        <v>69</v>
      </c>
    </row>
    <row r="1014" spans="1:22" ht="15">
      <c r="A1014" s="4">
        <v>1007</v>
      </c>
      <c r="B1014">
        <v>1223</v>
      </c>
      <c r="C1014" t="s">
        <v>2360</v>
      </c>
      <c r="D1014" t="s">
        <v>2361</v>
      </c>
      <c r="E1014" t="s">
        <v>73</v>
      </c>
      <c r="F1014" t="s">
        <v>2362</v>
      </c>
      <c r="G1014" t="str">
        <f>"00522951"</f>
        <v>00522951</v>
      </c>
      <c r="H1014">
        <v>36</v>
      </c>
      <c r="I1014">
        <v>0</v>
      </c>
      <c r="M1014">
        <v>0</v>
      </c>
      <c r="N1014">
        <v>0</v>
      </c>
      <c r="O1014">
        <v>0</v>
      </c>
      <c r="P1014">
        <v>36</v>
      </c>
      <c r="Q1014">
        <v>33</v>
      </c>
      <c r="R1014">
        <v>33</v>
      </c>
      <c r="S1014">
        <v>0</v>
      </c>
      <c r="T1014">
        <v>0</v>
      </c>
      <c r="U1014" s="1">
        <v>0</v>
      </c>
      <c r="V1014">
        <v>69</v>
      </c>
    </row>
    <row r="1015" spans="1:22" ht="15">
      <c r="A1015" s="4">
        <v>1008</v>
      </c>
      <c r="B1015">
        <v>2332</v>
      </c>
      <c r="C1015" t="s">
        <v>2363</v>
      </c>
      <c r="D1015" t="s">
        <v>36</v>
      </c>
      <c r="E1015" t="s">
        <v>225</v>
      </c>
      <c r="F1015" t="s">
        <v>2364</v>
      </c>
      <c r="G1015" t="str">
        <f>"00442218"</f>
        <v>00442218</v>
      </c>
      <c r="H1015">
        <v>36</v>
      </c>
      <c r="I1015">
        <v>10</v>
      </c>
      <c r="M1015">
        <v>0</v>
      </c>
      <c r="N1015">
        <v>0</v>
      </c>
      <c r="O1015">
        <v>0</v>
      </c>
      <c r="P1015">
        <v>46</v>
      </c>
      <c r="Q1015">
        <v>23</v>
      </c>
      <c r="R1015">
        <v>23</v>
      </c>
      <c r="S1015">
        <v>0</v>
      </c>
      <c r="T1015">
        <v>0</v>
      </c>
      <c r="U1015" s="1">
        <v>0</v>
      </c>
      <c r="V1015">
        <v>69</v>
      </c>
    </row>
    <row r="1016" spans="1:22" ht="15">
      <c r="A1016" s="4">
        <v>1009</v>
      </c>
      <c r="B1016">
        <v>2876</v>
      </c>
      <c r="C1016" t="s">
        <v>2365</v>
      </c>
      <c r="D1016" t="s">
        <v>2366</v>
      </c>
      <c r="E1016" t="s">
        <v>403</v>
      </c>
      <c r="F1016" t="s">
        <v>2367</v>
      </c>
      <c r="G1016" t="str">
        <f>"00513315"</f>
        <v>00513315</v>
      </c>
      <c r="H1016">
        <v>38.92</v>
      </c>
      <c r="I1016">
        <v>10</v>
      </c>
      <c r="L1016">
        <v>4</v>
      </c>
      <c r="M1016">
        <v>4</v>
      </c>
      <c r="N1016">
        <v>4</v>
      </c>
      <c r="O1016">
        <v>0</v>
      </c>
      <c r="P1016">
        <v>56.92</v>
      </c>
      <c r="Q1016">
        <v>12</v>
      </c>
      <c r="R1016">
        <v>12</v>
      </c>
      <c r="S1016">
        <v>0</v>
      </c>
      <c r="T1016">
        <v>0</v>
      </c>
      <c r="U1016" s="1">
        <v>0</v>
      </c>
      <c r="V1016">
        <v>68.92</v>
      </c>
    </row>
    <row r="1017" spans="1:22" ht="15">
      <c r="A1017" s="4">
        <v>1010</v>
      </c>
      <c r="B1017">
        <v>1427</v>
      </c>
      <c r="C1017" t="s">
        <v>2368</v>
      </c>
      <c r="D1017" t="s">
        <v>29</v>
      </c>
      <c r="E1017" t="s">
        <v>2369</v>
      </c>
      <c r="F1017" t="s">
        <v>2370</v>
      </c>
      <c r="G1017" t="str">
        <f>"00163611"</f>
        <v>00163611</v>
      </c>
      <c r="H1017">
        <v>25.8</v>
      </c>
      <c r="I1017">
        <v>10</v>
      </c>
      <c r="M1017">
        <v>0</v>
      </c>
      <c r="N1017">
        <v>0</v>
      </c>
      <c r="O1017">
        <v>0</v>
      </c>
      <c r="P1017">
        <v>35.8</v>
      </c>
      <c r="Q1017">
        <v>33</v>
      </c>
      <c r="R1017">
        <v>33</v>
      </c>
      <c r="S1017">
        <v>0</v>
      </c>
      <c r="T1017">
        <v>0</v>
      </c>
      <c r="U1017" s="1">
        <v>0</v>
      </c>
      <c r="V1017">
        <v>68.8</v>
      </c>
    </row>
    <row r="1018" spans="1:22" ht="15">
      <c r="A1018" s="4">
        <v>1011</v>
      </c>
      <c r="B1018">
        <v>447</v>
      </c>
      <c r="C1018" t="s">
        <v>2371</v>
      </c>
      <c r="D1018" t="s">
        <v>130</v>
      </c>
      <c r="E1018" t="s">
        <v>90</v>
      </c>
      <c r="F1018" t="s">
        <v>2372</v>
      </c>
      <c r="G1018" t="str">
        <f>"00532656"</f>
        <v>00532656</v>
      </c>
      <c r="H1018">
        <v>64.8</v>
      </c>
      <c r="I1018">
        <v>0</v>
      </c>
      <c r="M1018">
        <v>4</v>
      </c>
      <c r="N1018">
        <v>0</v>
      </c>
      <c r="O1018">
        <v>0</v>
      </c>
      <c r="P1018">
        <v>68.8</v>
      </c>
      <c r="Q1018">
        <v>0</v>
      </c>
      <c r="R1018">
        <v>0</v>
      </c>
      <c r="S1018">
        <v>0</v>
      </c>
      <c r="T1018">
        <v>0</v>
      </c>
      <c r="U1018" s="1">
        <v>0</v>
      </c>
      <c r="V1018">
        <v>68.8</v>
      </c>
    </row>
    <row r="1019" spans="1:22" ht="15">
      <c r="A1019" s="4">
        <v>1012</v>
      </c>
      <c r="B1019">
        <v>1419</v>
      </c>
      <c r="C1019" t="s">
        <v>2373</v>
      </c>
      <c r="D1019" t="s">
        <v>1868</v>
      </c>
      <c r="E1019" t="s">
        <v>2374</v>
      </c>
      <c r="F1019" t="s">
        <v>2375</v>
      </c>
      <c r="G1019" t="str">
        <f>"00526088"</f>
        <v>00526088</v>
      </c>
      <c r="H1019">
        <v>64.8</v>
      </c>
      <c r="I1019">
        <v>0</v>
      </c>
      <c r="M1019">
        <v>4</v>
      </c>
      <c r="N1019">
        <v>0</v>
      </c>
      <c r="O1019">
        <v>0</v>
      </c>
      <c r="P1019">
        <v>68.8</v>
      </c>
      <c r="Q1019">
        <v>0</v>
      </c>
      <c r="R1019">
        <v>0</v>
      </c>
      <c r="S1019">
        <v>0</v>
      </c>
      <c r="T1019">
        <v>0</v>
      </c>
      <c r="U1019" s="1">
        <v>0</v>
      </c>
      <c r="V1019">
        <v>68.8</v>
      </c>
    </row>
    <row r="1020" spans="1:22" ht="15">
      <c r="A1020" s="4">
        <v>1013</v>
      </c>
      <c r="B1020">
        <v>3027</v>
      </c>
      <c r="C1020" t="s">
        <v>2376</v>
      </c>
      <c r="D1020" t="s">
        <v>511</v>
      </c>
      <c r="E1020" t="s">
        <v>30</v>
      </c>
      <c r="F1020" t="s">
        <v>2377</v>
      </c>
      <c r="G1020" t="str">
        <f>"00530791"</f>
        <v>00530791</v>
      </c>
      <c r="H1020">
        <v>64.8</v>
      </c>
      <c r="I1020">
        <v>0</v>
      </c>
      <c r="L1020">
        <v>4</v>
      </c>
      <c r="M1020">
        <v>0</v>
      </c>
      <c r="N1020">
        <v>4</v>
      </c>
      <c r="O1020">
        <v>0</v>
      </c>
      <c r="P1020">
        <v>68.8</v>
      </c>
      <c r="Q1020">
        <v>0</v>
      </c>
      <c r="R1020">
        <v>0</v>
      </c>
      <c r="S1020">
        <v>0</v>
      </c>
      <c r="T1020">
        <v>0</v>
      </c>
      <c r="U1020" s="1">
        <v>0</v>
      </c>
      <c r="V1020">
        <v>68.8</v>
      </c>
    </row>
    <row r="1021" spans="1:22" ht="15">
      <c r="A1021" s="4">
        <v>1014</v>
      </c>
      <c r="B1021">
        <v>2905</v>
      </c>
      <c r="C1021" t="s">
        <v>2378</v>
      </c>
      <c r="D1021" t="s">
        <v>160</v>
      </c>
      <c r="E1021" t="s">
        <v>73</v>
      </c>
      <c r="F1021" t="s">
        <v>2379</v>
      </c>
      <c r="G1021" t="str">
        <f>"200802004167"</f>
        <v>200802004167</v>
      </c>
      <c r="H1021">
        <v>64.8</v>
      </c>
      <c r="I1021">
        <v>0</v>
      </c>
      <c r="L1021">
        <v>4</v>
      </c>
      <c r="M1021">
        <v>0</v>
      </c>
      <c r="N1021">
        <v>4</v>
      </c>
      <c r="O1021">
        <v>0</v>
      </c>
      <c r="P1021">
        <v>68.8</v>
      </c>
      <c r="Q1021">
        <v>0</v>
      </c>
      <c r="R1021">
        <v>0</v>
      </c>
      <c r="S1021">
        <v>0</v>
      </c>
      <c r="T1021">
        <v>0</v>
      </c>
      <c r="U1021" s="1">
        <v>0</v>
      </c>
      <c r="V1021">
        <v>68.8</v>
      </c>
    </row>
    <row r="1022" spans="1:22" ht="15">
      <c r="A1022" s="4">
        <v>1015</v>
      </c>
      <c r="B1022">
        <v>2658</v>
      </c>
      <c r="C1022" t="s">
        <v>2380</v>
      </c>
      <c r="D1022" t="s">
        <v>2114</v>
      </c>
      <c r="E1022" t="s">
        <v>30</v>
      </c>
      <c r="F1022" t="s">
        <v>2381</v>
      </c>
      <c r="G1022" t="str">
        <f>"00489182"</f>
        <v>00489182</v>
      </c>
      <c r="H1022">
        <v>64.8</v>
      </c>
      <c r="I1022">
        <v>0</v>
      </c>
      <c r="M1022">
        <v>4</v>
      </c>
      <c r="N1022">
        <v>0</v>
      </c>
      <c r="O1022">
        <v>0</v>
      </c>
      <c r="P1022">
        <v>68.8</v>
      </c>
      <c r="Q1022">
        <v>0</v>
      </c>
      <c r="R1022">
        <v>0</v>
      </c>
      <c r="S1022">
        <v>0</v>
      </c>
      <c r="T1022">
        <v>0</v>
      </c>
      <c r="U1022" s="1">
        <v>0</v>
      </c>
      <c r="V1022">
        <v>68.8</v>
      </c>
    </row>
    <row r="1023" spans="1:22" ht="15">
      <c r="A1023" s="4">
        <v>1016</v>
      </c>
      <c r="B1023">
        <v>3108</v>
      </c>
      <c r="C1023" t="s">
        <v>2382</v>
      </c>
      <c r="D1023" t="s">
        <v>89</v>
      </c>
      <c r="E1023" t="s">
        <v>23</v>
      </c>
      <c r="F1023" t="s">
        <v>2383</v>
      </c>
      <c r="G1023" t="str">
        <f>"00531295"</f>
        <v>00531295</v>
      </c>
      <c r="H1023">
        <v>28.8</v>
      </c>
      <c r="I1023">
        <v>10</v>
      </c>
      <c r="M1023">
        <v>4</v>
      </c>
      <c r="N1023">
        <v>0</v>
      </c>
      <c r="O1023">
        <v>0</v>
      </c>
      <c r="P1023">
        <v>42.8</v>
      </c>
      <c r="Q1023">
        <v>23</v>
      </c>
      <c r="R1023">
        <v>23</v>
      </c>
      <c r="S1023">
        <v>3</v>
      </c>
      <c r="T1023">
        <v>0</v>
      </c>
      <c r="U1023" s="1">
        <v>0</v>
      </c>
      <c r="V1023">
        <v>68.8</v>
      </c>
    </row>
    <row r="1024" spans="1:22" ht="15">
      <c r="A1024" s="4">
        <v>1017</v>
      </c>
      <c r="B1024">
        <v>2286</v>
      </c>
      <c r="C1024" t="s">
        <v>2384</v>
      </c>
      <c r="D1024" t="s">
        <v>102</v>
      </c>
      <c r="E1024" t="s">
        <v>11</v>
      </c>
      <c r="F1024" t="s">
        <v>2385</v>
      </c>
      <c r="G1024" t="str">
        <f>"00531085"</f>
        <v>00531085</v>
      </c>
      <c r="H1024">
        <v>64.8</v>
      </c>
      <c r="I1024">
        <v>0</v>
      </c>
      <c r="M1024">
        <v>4</v>
      </c>
      <c r="N1024">
        <v>0</v>
      </c>
      <c r="O1024">
        <v>0</v>
      </c>
      <c r="P1024">
        <v>68.8</v>
      </c>
      <c r="Q1024">
        <v>0</v>
      </c>
      <c r="R1024">
        <v>0</v>
      </c>
      <c r="S1024">
        <v>0</v>
      </c>
      <c r="T1024">
        <v>0</v>
      </c>
      <c r="U1024" s="1">
        <v>0</v>
      </c>
      <c r="V1024">
        <v>68.8</v>
      </c>
    </row>
    <row r="1025" spans="1:22" ht="15">
      <c r="A1025" s="4">
        <v>1018</v>
      </c>
      <c r="B1025">
        <v>1588</v>
      </c>
      <c r="C1025" t="s">
        <v>2386</v>
      </c>
      <c r="D1025" t="s">
        <v>89</v>
      </c>
      <c r="E1025" t="s">
        <v>90</v>
      </c>
      <c r="F1025" t="s">
        <v>2387</v>
      </c>
      <c r="G1025" t="str">
        <f>"00531810"</f>
        <v>00531810</v>
      </c>
      <c r="H1025">
        <v>64.8</v>
      </c>
      <c r="I1025">
        <v>0</v>
      </c>
      <c r="L1025">
        <v>4</v>
      </c>
      <c r="M1025">
        <v>0</v>
      </c>
      <c r="N1025">
        <v>4</v>
      </c>
      <c r="O1025">
        <v>0</v>
      </c>
      <c r="P1025">
        <v>68.8</v>
      </c>
      <c r="Q1025">
        <v>0</v>
      </c>
      <c r="R1025">
        <v>0</v>
      </c>
      <c r="S1025">
        <v>0</v>
      </c>
      <c r="T1025">
        <v>0</v>
      </c>
      <c r="U1025" s="1">
        <v>0</v>
      </c>
      <c r="V1025">
        <v>68.8</v>
      </c>
    </row>
    <row r="1026" spans="1:22" ht="15">
      <c r="A1026" s="4">
        <v>1019</v>
      </c>
      <c r="B1026">
        <v>2529</v>
      </c>
      <c r="C1026" t="s">
        <v>948</v>
      </c>
      <c r="D1026" t="s">
        <v>58</v>
      </c>
      <c r="E1026" t="s">
        <v>15</v>
      </c>
      <c r="F1026" t="s">
        <v>2388</v>
      </c>
      <c r="G1026" t="str">
        <f>"00508574"</f>
        <v>00508574</v>
      </c>
      <c r="H1026">
        <v>28.8</v>
      </c>
      <c r="I1026">
        <v>0</v>
      </c>
      <c r="L1026">
        <v>4</v>
      </c>
      <c r="M1026">
        <v>4</v>
      </c>
      <c r="N1026">
        <v>4</v>
      </c>
      <c r="O1026">
        <v>0</v>
      </c>
      <c r="P1026">
        <v>36.8</v>
      </c>
      <c r="Q1026">
        <v>32</v>
      </c>
      <c r="R1026">
        <v>32</v>
      </c>
      <c r="S1026">
        <v>0</v>
      </c>
      <c r="T1026">
        <v>0</v>
      </c>
      <c r="U1026" s="1">
        <v>0</v>
      </c>
      <c r="V1026">
        <v>68.8</v>
      </c>
    </row>
    <row r="1027" spans="1:22" ht="15">
      <c r="A1027" s="4">
        <v>1020</v>
      </c>
      <c r="B1027">
        <v>1059</v>
      </c>
      <c r="C1027" t="s">
        <v>2389</v>
      </c>
      <c r="D1027" t="s">
        <v>222</v>
      </c>
      <c r="E1027" t="s">
        <v>157</v>
      </c>
      <c r="F1027" t="s">
        <v>2390</v>
      </c>
      <c r="G1027" t="str">
        <f>"00530192"</f>
        <v>00530192</v>
      </c>
      <c r="H1027">
        <v>11.6</v>
      </c>
      <c r="I1027">
        <v>0</v>
      </c>
      <c r="M1027">
        <v>4</v>
      </c>
      <c r="N1027">
        <v>0</v>
      </c>
      <c r="O1027">
        <v>0</v>
      </c>
      <c r="P1027">
        <v>15.6</v>
      </c>
      <c r="Q1027">
        <v>53</v>
      </c>
      <c r="R1027">
        <v>53</v>
      </c>
      <c r="S1027">
        <v>0</v>
      </c>
      <c r="T1027">
        <v>0</v>
      </c>
      <c r="U1027" s="1">
        <v>0</v>
      </c>
      <c r="V1027">
        <v>68.6</v>
      </c>
    </row>
    <row r="1028" spans="1:22" ht="15">
      <c r="A1028" s="4">
        <v>1021</v>
      </c>
      <c r="B1028">
        <v>1887</v>
      </c>
      <c r="C1028" t="s">
        <v>2391</v>
      </c>
      <c r="D1028" t="s">
        <v>76</v>
      </c>
      <c r="E1028" t="s">
        <v>19</v>
      </c>
      <c r="F1028" t="s">
        <v>2392</v>
      </c>
      <c r="G1028" t="str">
        <f>"00425873"</f>
        <v>00425873</v>
      </c>
      <c r="H1028">
        <v>57.6</v>
      </c>
      <c r="I1028">
        <v>0</v>
      </c>
      <c r="L1028">
        <v>4</v>
      </c>
      <c r="M1028">
        <v>4</v>
      </c>
      <c r="N1028">
        <v>4</v>
      </c>
      <c r="O1028">
        <v>0</v>
      </c>
      <c r="P1028">
        <v>65.6</v>
      </c>
      <c r="Q1028">
        <v>0</v>
      </c>
      <c r="R1028">
        <v>0</v>
      </c>
      <c r="S1028">
        <v>3</v>
      </c>
      <c r="T1028">
        <v>0</v>
      </c>
      <c r="U1028" s="1">
        <v>0</v>
      </c>
      <c r="V1028">
        <v>68.6</v>
      </c>
    </row>
    <row r="1029" spans="1:22" ht="15">
      <c r="A1029" s="4">
        <v>1022</v>
      </c>
      <c r="B1029">
        <v>1002</v>
      </c>
      <c r="C1029" t="s">
        <v>2393</v>
      </c>
      <c r="D1029" t="s">
        <v>124</v>
      </c>
      <c r="E1029" t="s">
        <v>2394</v>
      </c>
      <c r="F1029" t="s">
        <v>2395</v>
      </c>
      <c r="G1029" t="str">
        <f>"00200858"</f>
        <v>00200858</v>
      </c>
      <c r="H1029">
        <v>38.56</v>
      </c>
      <c r="I1029">
        <v>0</v>
      </c>
      <c r="M1029">
        <v>4</v>
      </c>
      <c r="N1029">
        <v>0</v>
      </c>
      <c r="O1029">
        <v>0</v>
      </c>
      <c r="P1029">
        <v>42.56</v>
      </c>
      <c r="Q1029">
        <v>20</v>
      </c>
      <c r="R1029">
        <v>20</v>
      </c>
      <c r="S1029">
        <v>6</v>
      </c>
      <c r="T1029">
        <v>0</v>
      </c>
      <c r="U1029" s="1">
        <v>0</v>
      </c>
      <c r="V1029">
        <v>68.56</v>
      </c>
    </row>
    <row r="1030" spans="1:22" ht="15">
      <c r="A1030" s="4">
        <v>1023</v>
      </c>
      <c r="B1030">
        <v>400</v>
      </c>
      <c r="C1030" t="s">
        <v>2396</v>
      </c>
      <c r="D1030" t="s">
        <v>2397</v>
      </c>
      <c r="E1030" t="s">
        <v>90</v>
      </c>
      <c r="F1030" t="s">
        <v>2398</v>
      </c>
      <c r="G1030" t="str">
        <f>"201511043329"</f>
        <v>201511043329</v>
      </c>
      <c r="H1030">
        <v>50.4</v>
      </c>
      <c r="I1030">
        <v>10</v>
      </c>
      <c r="L1030">
        <v>4</v>
      </c>
      <c r="M1030">
        <v>4</v>
      </c>
      <c r="N1030">
        <v>4</v>
      </c>
      <c r="O1030">
        <v>0</v>
      </c>
      <c r="P1030">
        <v>68.4</v>
      </c>
      <c r="Q1030">
        <v>0</v>
      </c>
      <c r="R1030">
        <v>0</v>
      </c>
      <c r="S1030">
        <v>0</v>
      </c>
      <c r="T1030">
        <v>0</v>
      </c>
      <c r="U1030" s="1">
        <v>0</v>
      </c>
      <c r="V1030">
        <v>68.4</v>
      </c>
    </row>
    <row r="1031" spans="1:22" ht="15">
      <c r="A1031" s="4">
        <v>1024</v>
      </c>
      <c r="B1031">
        <v>819</v>
      </c>
      <c r="C1031" t="s">
        <v>2399</v>
      </c>
      <c r="D1031" t="s">
        <v>222</v>
      </c>
      <c r="E1031" t="s">
        <v>41</v>
      </c>
      <c r="F1031" t="s">
        <v>2400</v>
      </c>
      <c r="G1031" t="str">
        <f>"00509119"</f>
        <v>00509119</v>
      </c>
      <c r="H1031">
        <v>50.4</v>
      </c>
      <c r="I1031">
        <v>0</v>
      </c>
      <c r="J1031">
        <v>8</v>
      </c>
      <c r="L1031">
        <v>4</v>
      </c>
      <c r="M1031">
        <v>4</v>
      </c>
      <c r="N1031">
        <v>12</v>
      </c>
      <c r="O1031">
        <v>2</v>
      </c>
      <c r="P1031">
        <v>68.4</v>
      </c>
      <c r="Q1031">
        <v>0</v>
      </c>
      <c r="R1031">
        <v>0</v>
      </c>
      <c r="S1031">
        <v>0</v>
      </c>
      <c r="T1031">
        <v>0</v>
      </c>
      <c r="U1031" s="1">
        <v>0</v>
      </c>
      <c r="V1031">
        <v>68.4</v>
      </c>
    </row>
    <row r="1032" spans="1:22" ht="15">
      <c r="A1032" s="4">
        <v>1025</v>
      </c>
      <c r="B1032">
        <v>1782</v>
      </c>
      <c r="C1032" t="s">
        <v>543</v>
      </c>
      <c r="D1032" t="s">
        <v>373</v>
      </c>
      <c r="E1032" t="s">
        <v>364</v>
      </c>
      <c r="F1032" t="s">
        <v>2401</v>
      </c>
      <c r="G1032" t="str">
        <f>"201406007698"</f>
        <v>201406007698</v>
      </c>
      <c r="H1032">
        <v>43.2</v>
      </c>
      <c r="I1032">
        <v>0</v>
      </c>
      <c r="L1032">
        <v>4</v>
      </c>
      <c r="M1032">
        <v>4</v>
      </c>
      <c r="N1032">
        <v>4</v>
      </c>
      <c r="O1032">
        <v>0</v>
      </c>
      <c r="P1032">
        <v>51.2</v>
      </c>
      <c r="Q1032">
        <v>8</v>
      </c>
      <c r="R1032">
        <v>8</v>
      </c>
      <c r="S1032">
        <v>9</v>
      </c>
      <c r="T1032">
        <v>0</v>
      </c>
      <c r="U1032" s="1">
        <v>0</v>
      </c>
      <c r="V1032">
        <v>68.2</v>
      </c>
    </row>
    <row r="1033" spans="1:22" ht="15">
      <c r="A1033" s="4">
        <v>1026</v>
      </c>
      <c r="B1033">
        <v>3216</v>
      </c>
      <c r="C1033" t="s">
        <v>2402</v>
      </c>
      <c r="D1033" t="s">
        <v>26</v>
      </c>
      <c r="E1033" t="s">
        <v>51</v>
      </c>
      <c r="F1033" t="s">
        <v>2403</v>
      </c>
      <c r="G1033" t="str">
        <f>"00513761"</f>
        <v>00513761</v>
      </c>
      <c r="H1033">
        <v>26.16</v>
      </c>
      <c r="I1033">
        <v>0</v>
      </c>
      <c r="M1033">
        <v>4</v>
      </c>
      <c r="N1033">
        <v>0</v>
      </c>
      <c r="O1033">
        <v>0</v>
      </c>
      <c r="P1033">
        <v>30.16</v>
      </c>
      <c r="Q1033">
        <v>38</v>
      </c>
      <c r="R1033">
        <v>38</v>
      </c>
      <c r="S1033">
        <v>0</v>
      </c>
      <c r="T1033">
        <v>0</v>
      </c>
      <c r="U1033" s="1">
        <v>0</v>
      </c>
      <c r="V1033">
        <v>68.16</v>
      </c>
    </row>
    <row r="1034" spans="1:22" ht="15">
      <c r="A1034" s="4">
        <v>1027</v>
      </c>
      <c r="B1034">
        <v>1855</v>
      </c>
      <c r="C1034" t="s">
        <v>1215</v>
      </c>
      <c r="D1034" t="s">
        <v>2404</v>
      </c>
      <c r="E1034" t="s">
        <v>90</v>
      </c>
      <c r="F1034" t="s">
        <v>2405</v>
      </c>
      <c r="G1034" t="str">
        <f>"00530221"</f>
        <v>00530221</v>
      </c>
      <c r="H1034">
        <v>35.12</v>
      </c>
      <c r="I1034">
        <v>0</v>
      </c>
      <c r="M1034">
        <v>4</v>
      </c>
      <c r="N1034">
        <v>0</v>
      </c>
      <c r="O1034">
        <v>2</v>
      </c>
      <c r="P1034">
        <v>41.12</v>
      </c>
      <c r="Q1034">
        <v>27</v>
      </c>
      <c r="R1034">
        <v>27</v>
      </c>
      <c r="S1034">
        <v>0</v>
      </c>
      <c r="T1034">
        <v>0</v>
      </c>
      <c r="U1034" s="1">
        <v>0</v>
      </c>
      <c r="V1034">
        <v>68.12</v>
      </c>
    </row>
    <row r="1035" spans="1:22" ht="15">
      <c r="A1035" s="4">
        <v>1028</v>
      </c>
      <c r="B1035">
        <v>449</v>
      </c>
      <c r="C1035" t="s">
        <v>2406</v>
      </c>
      <c r="D1035" t="s">
        <v>137</v>
      </c>
      <c r="E1035" t="s">
        <v>242</v>
      </c>
      <c r="F1035" t="s">
        <v>2407</v>
      </c>
      <c r="G1035" t="str">
        <f>"00482616"</f>
        <v>00482616</v>
      </c>
      <c r="H1035">
        <v>26.12</v>
      </c>
      <c r="I1035">
        <v>10</v>
      </c>
      <c r="M1035">
        <v>4</v>
      </c>
      <c r="N1035">
        <v>0</v>
      </c>
      <c r="O1035">
        <v>0</v>
      </c>
      <c r="P1035">
        <v>40.12</v>
      </c>
      <c r="Q1035">
        <v>25</v>
      </c>
      <c r="R1035">
        <v>25</v>
      </c>
      <c r="S1035">
        <v>3</v>
      </c>
      <c r="T1035">
        <v>0</v>
      </c>
      <c r="U1035" s="1">
        <v>0</v>
      </c>
      <c r="V1035">
        <v>68.12</v>
      </c>
    </row>
    <row r="1036" spans="1:22" ht="15">
      <c r="A1036" s="4">
        <v>1029</v>
      </c>
      <c r="B1036">
        <v>2943</v>
      </c>
      <c r="C1036" t="s">
        <v>2408</v>
      </c>
      <c r="D1036" t="s">
        <v>14</v>
      </c>
      <c r="E1036" t="s">
        <v>2409</v>
      </c>
      <c r="F1036" t="s">
        <v>2410</v>
      </c>
      <c r="G1036" t="str">
        <f>"00512934"</f>
        <v>00512934</v>
      </c>
      <c r="H1036">
        <v>36</v>
      </c>
      <c r="I1036">
        <v>0</v>
      </c>
      <c r="L1036">
        <v>4</v>
      </c>
      <c r="M1036">
        <v>0</v>
      </c>
      <c r="N1036">
        <v>4</v>
      </c>
      <c r="O1036">
        <v>0</v>
      </c>
      <c r="P1036">
        <v>40</v>
      </c>
      <c r="Q1036">
        <v>25</v>
      </c>
      <c r="R1036">
        <v>25</v>
      </c>
      <c r="S1036">
        <v>3</v>
      </c>
      <c r="T1036">
        <v>0</v>
      </c>
      <c r="U1036" s="1">
        <v>0</v>
      </c>
      <c r="V1036">
        <v>68</v>
      </c>
    </row>
    <row r="1037" spans="1:22" ht="15">
      <c r="A1037" s="4">
        <v>1030</v>
      </c>
      <c r="B1037">
        <v>425</v>
      </c>
      <c r="C1037" t="s">
        <v>2411</v>
      </c>
      <c r="D1037" t="s">
        <v>89</v>
      </c>
      <c r="E1037" t="s">
        <v>51</v>
      </c>
      <c r="F1037" t="s">
        <v>2412</v>
      </c>
      <c r="G1037" t="str">
        <f>"00486637"</f>
        <v>00486637</v>
      </c>
      <c r="H1037">
        <v>28</v>
      </c>
      <c r="I1037">
        <v>0</v>
      </c>
      <c r="M1037">
        <v>4</v>
      </c>
      <c r="N1037">
        <v>0</v>
      </c>
      <c r="O1037">
        <v>0</v>
      </c>
      <c r="P1037">
        <v>32</v>
      </c>
      <c r="Q1037">
        <v>36</v>
      </c>
      <c r="R1037">
        <v>36</v>
      </c>
      <c r="S1037">
        <v>0</v>
      </c>
      <c r="T1037">
        <v>0</v>
      </c>
      <c r="U1037" s="1">
        <v>0</v>
      </c>
      <c r="V1037">
        <v>68</v>
      </c>
    </row>
    <row r="1038" spans="1:22" ht="15">
      <c r="A1038" s="4">
        <v>1031</v>
      </c>
      <c r="B1038">
        <v>842</v>
      </c>
      <c r="C1038" t="s">
        <v>2413</v>
      </c>
      <c r="D1038" t="s">
        <v>29</v>
      </c>
      <c r="E1038" t="s">
        <v>2414</v>
      </c>
      <c r="F1038" t="s">
        <v>2415</v>
      </c>
      <c r="G1038" t="str">
        <f>"00164081"</f>
        <v>00164081</v>
      </c>
      <c r="H1038">
        <v>37</v>
      </c>
      <c r="I1038">
        <v>0</v>
      </c>
      <c r="J1038">
        <v>8</v>
      </c>
      <c r="M1038">
        <v>4</v>
      </c>
      <c r="N1038">
        <v>8</v>
      </c>
      <c r="O1038">
        <v>0</v>
      </c>
      <c r="P1038">
        <v>49</v>
      </c>
      <c r="Q1038">
        <v>13</v>
      </c>
      <c r="R1038">
        <v>13</v>
      </c>
      <c r="S1038">
        <v>6</v>
      </c>
      <c r="T1038">
        <v>0</v>
      </c>
      <c r="U1038" s="1">
        <v>0</v>
      </c>
      <c r="V1038">
        <v>68</v>
      </c>
    </row>
    <row r="1039" spans="1:22" ht="15">
      <c r="A1039" s="4">
        <v>1032</v>
      </c>
      <c r="B1039">
        <v>3164</v>
      </c>
      <c r="C1039" t="s">
        <v>2416</v>
      </c>
      <c r="D1039" t="s">
        <v>40</v>
      </c>
      <c r="E1039" t="s">
        <v>858</v>
      </c>
      <c r="F1039" t="s">
        <v>2417</v>
      </c>
      <c r="G1039" t="str">
        <f>"201511035052"</f>
        <v>201511035052</v>
      </c>
      <c r="H1039">
        <v>36</v>
      </c>
      <c r="I1039">
        <v>10</v>
      </c>
      <c r="M1039">
        <v>0</v>
      </c>
      <c r="N1039">
        <v>0</v>
      </c>
      <c r="O1039">
        <v>0</v>
      </c>
      <c r="P1039">
        <v>46</v>
      </c>
      <c r="Q1039">
        <v>22</v>
      </c>
      <c r="R1039">
        <v>22</v>
      </c>
      <c r="S1039">
        <v>0</v>
      </c>
      <c r="T1039">
        <v>0</v>
      </c>
      <c r="U1039" s="1">
        <v>0</v>
      </c>
      <c r="V1039">
        <v>68</v>
      </c>
    </row>
    <row r="1040" spans="1:22" ht="15">
      <c r="A1040" s="4">
        <v>1033</v>
      </c>
      <c r="B1040">
        <v>2297</v>
      </c>
      <c r="C1040" t="s">
        <v>2418</v>
      </c>
      <c r="D1040" t="s">
        <v>127</v>
      </c>
      <c r="E1040" t="s">
        <v>327</v>
      </c>
      <c r="F1040" t="s">
        <v>2419</v>
      </c>
      <c r="G1040" t="str">
        <f>"00201299"</f>
        <v>00201299</v>
      </c>
      <c r="H1040">
        <v>36</v>
      </c>
      <c r="I1040">
        <v>10</v>
      </c>
      <c r="M1040">
        <v>4</v>
      </c>
      <c r="N1040">
        <v>0</v>
      </c>
      <c r="O1040">
        <v>2</v>
      </c>
      <c r="P1040">
        <v>52</v>
      </c>
      <c r="Q1040">
        <v>13</v>
      </c>
      <c r="R1040">
        <v>13</v>
      </c>
      <c r="S1040">
        <v>3</v>
      </c>
      <c r="T1040">
        <v>0</v>
      </c>
      <c r="U1040" s="1">
        <v>0</v>
      </c>
      <c r="V1040">
        <v>68</v>
      </c>
    </row>
    <row r="1041" spans="1:22" ht="15">
      <c r="A1041" s="4">
        <v>1034</v>
      </c>
      <c r="B1041">
        <v>1652</v>
      </c>
      <c r="C1041" t="s">
        <v>430</v>
      </c>
      <c r="D1041" t="s">
        <v>14</v>
      </c>
      <c r="E1041" t="s">
        <v>30</v>
      </c>
      <c r="F1041" t="s">
        <v>2420</v>
      </c>
      <c r="G1041" t="str">
        <f>"201602000014"</f>
        <v>201602000014</v>
      </c>
      <c r="H1041">
        <v>38.92</v>
      </c>
      <c r="I1041">
        <v>0</v>
      </c>
      <c r="M1041">
        <v>4</v>
      </c>
      <c r="N1041">
        <v>0</v>
      </c>
      <c r="O1041">
        <v>0</v>
      </c>
      <c r="P1041">
        <v>42.92</v>
      </c>
      <c r="Q1041">
        <v>16</v>
      </c>
      <c r="R1041">
        <v>16</v>
      </c>
      <c r="S1041">
        <v>9</v>
      </c>
      <c r="T1041">
        <v>0</v>
      </c>
      <c r="U1041" s="1">
        <v>0</v>
      </c>
      <c r="V1041">
        <v>67.92</v>
      </c>
    </row>
    <row r="1042" spans="1:22" ht="15">
      <c r="A1042" s="4">
        <v>1035</v>
      </c>
      <c r="B1042">
        <v>1173</v>
      </c>
      <c r="C1042" t="s">
        <v>96</v>
      </c>
      <c r="D1042" t="s">
        <v>40</v>
      </c>
      <c r="E1042" t="s">
        <v>83</v>
      </c>
      <c r="F1042" t="s">
        <v>2421</v>
      </c>
      <c r="G1042" t="str">
        <f>"00515725"</f>
        <v>00515725</v>
      </c>
      <c r="H1042">
        <v>64.8</v>
      </c>
      <c r="I1042">
        <v>0</v>
      </c>
      <c r="M1042">
        <v>0</v>
      </c>
      <c r="N1042">
        <v>0</v>
      </c>
      <c r="O1042">
        <v>0</v>
      </c>
      <c r="P1042">
        <v>64.8</v>
      </c>
      <c r="Q1042">
        <v>0</v>
      </c>
      <c r="R1042">
        <v>0</v>
      </c>
      <c r="S1042">
        <v>3</v>
      </c>
      <c r="T1042">
        <v>0</v>
      </c>
      <c r="U1042" s="1">
        <v>0</v>
      </c>
      <c r="V1042">
        <v>67.8</v>
      </c>
    </row>
    <row r="1043" spans="1:22" ht="15">
      <c r="A1043" s="4">
        <v>1036</v>
      </c>
      <c r="B1043">
        <v>1445</v>
      </c>
      <c r="C1043" t="s">
        <v>2422</v>
      </c>
      <c r="D1043" t="s">
        <v>89</v>
      </c>
      <c r="E1043" t="s">
        <v>59</v>
      </c>
      <c r="F1043" t="s">
        <v>2423</v>
      </c>
      <c r="G1043" t="str">
        <f>"00154995"</f>
        <v>00154995</v>
      </c>
      <c r="H1043">
        <v>64.8</v>
      </c>
      <c r="I1043">
        <v>0</v>
      </c>
      <c r="M1043">
        <v>0</v>
      </c>
      <c r="N1043">
        <v>0</v>
      </c>
      <c r="O1043">
        <v>0</v>
      </c>
      <c r="P1043">
        <v>64.8</v>
      </c>
      <c r="Q1043">
        <v>0</v>
      </c>
      <c r="R1043">
        <v>0</v>
      </c>
      <c r="S1043">
        <v>3</v>
      </c>
      <c r="T1043">
        <v>0</v>
      </c>
      <c r="U1043" s="1">
        <v>0</v>
      </c>
      <c r="V1043">
        <v>67.8</v>
      </c>
    </row>
    <row r="1044" spans="1:22" ht="15">
      <c r="A1044" s="4">
        <v>1037</v>
      </c>
      <c r="B1044">
        <v>1947</v>
      </c>
      <c r="C1044" t="s">
        <v>2424</v>
      </c>
      <c r="D1044" t="s">
        <v>2425</v>
      </c>
      <c r="E1044" t="s">
        <v>157</v>
      </c>
      <c r="F1044" t="s">
        <v>2426</v>
      </c>
      <c r="G1044" t="str">
        <f>"00510880"</f>
        <v>00510880</v>
      </c>
      <c r="H1044">
        <v>64.8</v>
      </c>
      <c r="I1044">
        <v>0</v>
      </c>
      <c r="M1044">
        <v>0</v>
      </c>
      <c r="N1044">
        <v>0</v>
      </c>
      <c r="O1044">
        <v>0</v>
      </c>
      <c r="P1044">
        <v>64.8</v>
      </c>
      <c r="Q1044">
        <v>0</v>
      </c>
      <c r="R1044">
        <v>0</v>
      </c>
      <c r="S1044">
        <v>3</v>
      </c>
      <c r="T1044">
        <v>0</v>
      </c>
      <c r="U1044" s="1">
        <v>0</v>
      </c>
      <c r="V1044">
        <v>67.8</v>
      </c>
    </row>
    <row r="1045" spans="1:22" ht="15">
      <c r="A1045" s="4">
        <v>1038</v>
      </c>
      <c r="B1045">
        <v>1908</v>
      </c>
      <c r="C1045" t="s">
        <v>1969</v>
      </c>
      <c r="D1045" t="s">
        <v>568</v>
      </c>
      <c r="E1045" t="s">
        <v>1180</v>
      </c>
      <c r="F1045" t="s">
        <v>2427</v>
      </c>
      <c r="G1045" t="str">
        <f>"00321216"</f>
        <v>00321216</v>
      </c>
      <c r="H1045">
        <v>38.8</v>
      </c>
      <c r="I1045">
        <v>10</v>
      </c>
      <c r="L1045">
        <v>4</v>
      </c>
      <c r="M1045">
        <v>4</v>
      </c>
      <c r="N1045">
        <v>4</v>
      </c>
      <c r="O1045">
        <v>0</v>
      </c>
      <c r="P1045">
        <v>56.8</v>
      </c>
      <c r="Q1045">
        <v>8</v>
      </c>
      <c r="R1045">
        <v>8</v>
      </c>
      <c r="S1045">
        <v>3</v>
      </c>
      <c r="T1045">
        <v>0</v>
      </c>
      <c r="U1045" s="1">
        <v>0</v>
      </c>
      <c r="V1045">
        <v>67.8</v>
      </c>
    </row>
    <row r="1046" spans="1:22" ht="15">
      <c r="A1046" s="4">
        <v>1039</v>
      </c>
      <c r="B1046">
        <v>1614</v>
      </c>
      <c r="C1046" t="s">
        <v>2428</v>
      </c>
      <c r="D1046" t="s">
        <v>723</v>
      </c>
      <c r="E1046" t="s">
        <v>15</v>
      </c>
      <c r="F1046" t="s">
        <v>2429</v>
      </c>
      <c r="G1046" t="str">
        <f>"00157932"</f>
        <v>00157932</v>
      </c>
      <c r="H1046">
        <v>28.8</v>
      </c>
      <c r="I1046">
        <v>10</v>
      </c>
      <c r="L1046">
        <v>4</v>
      </c>
      <c r="M1046">
        <v>4</v>
      </c>
      <c r="N1046">
        <v>4</v>
      </c>
      <c r="O1046">
        <v>0</v>
      </c>
      <c r="P1046">
        <v>46.8</v>
      </c>
      <c r="Q1046">
        <v>15</v>
      </c>
      <c r="R1046">
        <v>15</v>
      </c>
      <c r="S1046">
        <v>6</v>
      </c>
      <c r="T1046">
        <v>0</v>
      </c>
      <c r="U1046" s="1">
        <v>0</v>
      </c>
      <c r="V1046">
        <v>67.8</v>
      </c>
    </row>
    <row r="1047" spans="1:22" ht="15">
      <c r="A1047" s="4">
        <v>1040</v>
      </c>
      <c r="B1047">
        <v>1434</v>
      </c>
      <c r="C1047" t="s">
        <v>2430</v>
      </c>
      <c r="D1047" t="s">
        <v>11</v>
      </c>
      <c r="E1047" t="s">
        <v>428</v>
      </c>
      <c r="F1047" t="s">
        <v>2431</v>
      </c>
      <c r="G1047" t="str">
        <f>"00486077"</f>
        <v>00486077</v>
      </c>
      <c r="H1047">
        <v>28.8</v>
      </c>
      <c r="I1047">
        <v>0</v>
      </c>
      <c r="K1047">
        <v>6</v>
      </c>
      <c r="M1047">
        <v>4</v>
      </c>
      <c r="N1047">
        <v>6</v>
      </c>
      <c r="O1047">
        <v>0</v>
      </c>
      <c r="P1047">
        <v>38.8</v>
      </c>
      <c r="Q1047">
        <v>29</v>
      </c>
      <c r="R1047">
        <v>29</v>
      </c>
      <c r="S1047">
        <v>0</v>
      </c>
      <c r="T1047">
        <v>0</v>
      </c>
      <c r="U1047" s="1">
        <v>0</v>
      </c>
      <c r="V1047">
        <v>67.8</v>
      </c>
    </row>
    <row r="1048" spans="1:22" ht="15">
      <c r="A1048" s="4">
        <v>1041</v>
      </c>
      <c r="B1048">
        <v>985</v>
      </c>
      <c r="C1048" t="s">
        <v>2432</v>
      </c>
      <c r="D1048" t="s">
        <v>692</v>
      </c>
      <c r="E1048" t="s">
        <v>242</v>
      </c>
      <c r="F1048" t="s">
        <v>2433</v>
      </c>
      <c r="G1048" t="str">
        <f>"00517573"</f>
        <v>00517573</v>
      </c>
      <c r="H1048">
        <v>21.6</v>
      </c>
      <c r="I1048">
        <v>10</v>
      </c>
      <c r="L1048">
        <v>4</v>
      </c>
      <c r="M1048">
        <v>4</v>
      </c>
      <c r="N1048">
        <v>4</v>
      </c>
      <c r="O1048">
        <v>0</v>
      </c>
      <c r="P1048">
        <v>39.6</v>
      </c>
      <c r="Q1048">
        <v>28</v>
      </c>
      <c r="R1048">
        <v>28</v>
      </c>
      <c r="S1048">
        <v>0</v>
      </c>
      <c r="T1048">
        <v>0</v>
      </c>
      <c r="U1048" s="1">
        <v>0</v>
      </c>
      <c r="V1048">
        <v>67.6</v>
      </c>
    </row>
    <row r="1049" spans="1:22" ht="15">
      <c r="A1049" s="4">
        <v>1042</v>
      </c>
      <c r="B1049">
        <v>1123</v>
      </c>
      <c r="C1049" t="s">
        <v>2434</v>
      </c>
      <c r="D1049" t="s">
        <v>711</v>
      </c>
      <c r="E1049" t="s">
        <v>83</v>
      </c>
      <c r="F1049" t="s">
        <v>2435</v>
      </c>
      <c r="G1049" t="str">
        <f>"00130007"</f>
        <v>00130007</v>
      </c>
      <c r="H1049">
        <v>57.6</v>
      </c>
      <c r="I1049">
        <v>0</v>
      </c>
      <c r="L1049">
        <v>4</v>
      </c>
      <c r="M1049">
        <v>4</v>
      </c>
      <c r="N1049">
        <v>4</v>
      </c>
      <c r="O1049">
        <v>2</v>
      </c>
      <c r="P1049">
        <v>67.6</v>
      </c>
      <c r="Q1049">
        <v>0</v>
      </c>
      <c r="R1049">
        <v>0</v>
      </c>
      <c r="S1049">
        <v>0</v>
      </c>
      <c r="T1049">
        <v>0</v>
      </c>
      <c r="U1049" s="1">
        <v>0</v>
      </c>
      <c r="V1049">
        <v>67.6</v>
      </c>
    </row>
    <row r="1050" spans="1:22" ht="15">
      <c r="A1050" s="4">
        <v>1043</v>
      </c>
      <c r="B1050">
        <v>2862</v>
      </c>
      <c r="C1050" t="s">
        <v>2436</v>
      </c>
      <c r="D1050" t="s">
        <v>390</v>
      </c>
      <c r="E1050" t="s">
        <v>83</v>
      </c>
      <c r="F1050" t="s">
        <v>2437</v>
      </c>
      <c r="G1050" t="str">
        <f>"00457041"</f>
        <v>00457041</v>
      </c>
      <c r="H1050">
        <v>57.6</v>
      </c>
      <c r="I1050">
        <v>0</v>
      </c>
      <c r="K1050">
        <v>6</v>
      </c>
      <c r="M1050">
        <v>4</v>
      </c>
      <c r="N1050">
        <v>6</v>
      </c>
      <c r="O1050">
        <v>0</v>
      </c>
      <c r="P1050">
        <v>67.6</v>
      </c>
      <c r="Q1050">
        <v>0</v>
      </c>
      <c r="R1050">
        <v>0</v>
      </c>
      <c r="S1050">
        <v>0</v>
      </c>
      <c r="T1050">
        <v>0</v>
      </c>
      <c r="U1050" s="1">
        <v>0</v>
      </c>
      <c r="V1050">
        <v>67.6</v>
      </c>
    </row>
    <row r="1051" spans="1:22" ht="15">
      <c r="A1051" s="4">
        <v>1044</v>
      </c>
      <c r="B1051">
        <v>1698</v>
      </c>
      <c r="C1051" t="s">
        <v>2438</v>
      </c>
      <c r="D1051" t="s">
        <v>14</v>
      </c>
      <c r="E1051" t="s">
        <v>23</v>
      </c>
      <c r="F1051" t="s">
        <v>2439</v>
      </c>
      <c r="G1051" t="str">
        <f>"00499783"</f>
        <v>00499783</v>
      </c>
      <c r="H1051">
        <v>57.6</v>
      </c>
      <c r="I1051">
        <v>0</v>
      </c>
      <c r="M1051">
        <v>4</v>
      </c>
      <c r="N1051">
        <v>0</v>
      </c>
      <c r="O1051">
        <v>0</v>
      </c>
      <c r="P1051">
        <v>61.6</v>
      </c>
      <c r="Q1051">
        <v>6</v>
      </c>
      <c r="R1051">
        <v>6</v>
      </c>
      <c r="S1051">
        <v>0</v>
      </c>
      <c r="T1051">
        <v>0</v>
      </c>
      <c r="U1051" s="1">
        <v>0</v>
      </c>
      <c r="V1051">
        <v>67.6</v>
      </c>
    </row>
    <row r="1052" spans="1:22" ht="15">
      <c r="A1052" s="4">
        <v>1045</v>
      </c>
      <c r="B1052">
        <v>1964</v>
      </c>
      <c r="C1052" t="s">
        <v>2440</v>
      </c>
      <c r="D1052" t="s">
        <v>1199</v>
      </c>
      <c r="E1052" t="s">
        <v>134</v>
      </c>
      <c r="F1052" t="s">
        <v>2441</v>
      </c>
      <c r="G1052" t="str">
        <f>"00519255"</f>
        <v>00519255</v>
      </c>
      <c r="H1052">
        <v>50.4</v>
      </c>
      <c r="I1052">
        <v>0</v>
      </c>
      <c r="M1052">
        <v>4</v>
      </c>
      <c r="N1052">
        <v>0</v>
      </c>
      <c r="O1052">
        <v>0</v>
      </c>
      <c r="P1052">
        <v>54.4</v>
      </c>
      <c r="Q1052">
        <v>7</v>
      </c>
      <c r="R1052">
        <v>7</v>
      </c>
      <c r="S1052">
        <v>6</v>
      </c>
      <c r="T1052">
        <v>0</v>
      </c>
      <c r="U1052" s="1">
        <v>0</v>
      </c>
      <c r="V1052">
        <v>67.4</v>
      </c>
    </row>
    <row r="1053" spans="1:22" ht="15">
      <c r="A1053" s="4">
        <v>1046</v>
      </c>
      <c r="B1053">
        <v>2051</v>
      </c>
      <c r="C1053" t="s">
        <v>2442</v>
      </c>
      <c r="D1053" t="s">
        <v>89</v>
      </c>
      <c r="E1053" t="s">
        <v>30</v>
      </c>
      <c r="F1053" t="s">
        <v>2443</v>
      </c>
      <c r="G1053" t="str">
        <f>"00531736"</f>
        <v>00531736</v>
      </c>
      <c r="H1053">
        <v>22.4</v>
      </c>
      <c r="I1053">
        <v>0</v>
      </c>
      <c r="M1053">
        <v>4</v>
      </c>
      <c r="N1053">
        <v>0</v>
      </c>
      <c r="O1053">
        <v>0</v>
      </c>
      <c r="P1053">
        <v>26.4</v>
      </c>
      <c r="Q1053">
        <v>35</v>
      </c>
      <c r="R1053">
        <v>35</v>
      </c>
      <c r="S1053">
        <v>6</v>
      </c>
      <c r="T1053">
        <v>0</v>
      </c>
      <c r="U1053" s="1">
        <v>0</v>
      </c>
      <c r="V1053">
        <v>67.4</v>
      </c>
    </row>
    <row r="1054" spans="1:22" ht="15">
      <c r="A1054" s="4">
        <v>1047</v>
      </c>
      <c r="B1054">
        <v>118</v>
      </c>
      <c r="C1054" t="s">
        <v>2444</v>
      </c>
      <c r="D1054" t="s">
        <v>2445</v>
      </c>
      <c r="E1054" t="s">
        <v>15</v>
      </c>
      <c r="F1054" t="s">
        <v>2446</v>
      </c>
      <c r="G1054" t="str">
        <f>"00480747"</f>
        <v>00480747</v>
      </c>
      <c r="H1054">
        <v>50.4</v>
      </c>
      <c r="I1054">
        <v>0</v>
      </c>
      <c r="M1054">
        <v>0</v>
      </c>
      <c r="N1054">
        <v>0</v>
      </c>
      <c r="O1054">
        <v>0</v>
      </c>
      <c r="P1054">
        <v>50.4</v>
      </c>
      <c r="Q1054">
        <v>8</v>
      </c>
      <c r="R1054">
        <v>8</v>
      </c>
      <c r="S1054">
        <v>9</v>
      </c>
      <c r="T1054">
        <v>0</v>
      </c>
      <c r="U1054" s="1">
        <v>0</v>
      </c>
      <c r="V1054">
        <v>67.4</v>
      </c>
    </row>
    <row r="1055" spans="1:22" ht="15">
      <c r="A1055" s="4">
        <v>1048</v>
      </c>
      <c r="B1055">
        <v>2666</v>
      </c>
      <c r="C1055" t="s">
        <v>2447</v>
      </c>
      <c r="D1055" t="s">
        <v>1397</v>
      </c>
      <c r="E1055" t="s">
        <v>90</v>
      </c>
      <c r="F1055" t="s">
        <v>2448</v>
      </c>
      <c r="G1055" t="str">
        <f>"00532180"</f>
        <v>00532180</v>
      </c>
      <c r="H1055">
        <v>43.2</v>
      </c>
      <c r="I1055">
        <v>10</v>
      </c>
      <c r="L1055">
        <v>4</v>
      </c>
      <c r="M1055">
        <v>4</v>
      </c>
      <c r="N1055">
        <v>4</v>
      </c>
      <c r="O1055">
        <v>0</v>
      </c>
      <c r="P1055">
        <v>61.2</v>
      </c>
      <c r="Q1055">
        <v>0</v>
      </c>
      <c r="R1055">
        <v>0</v>
      </c>
      <c r="S1055">
        <v>6</v>
      </c>
      <c r="T1055">
        <v>0</v>
      </c>
      <c r="U1055" s="1">
        <v>0</v>
      </c>
      <c r="V1055">
        <v>67.2</v>
      </c>
    </row>
    <row r="1056" spans="1:22" ht="15">
      <c r="A1056" s="4">
        <v>1049</v>
      </c>
      <c r="B1056">
        <v>435</v>
      </c>
      <c r="C1056" t="s">
        <v>2449</v>
      </c>
      <c r="D1056" t="s">
        <v>2450</v>
      </c>
      <c r="E1056" t="s">
        <v>55</v>
      </c>
      <c r="F1056" t="s">
        <v>2451</v>
      </c>
      <c r="G1056" t="str">
        <f>"00523246"</f>
        <v>00523246</v>
      </c>
      <c r="H1056">
        <v>37.2</v>
      </c>
      <c r="I1056">
        <v>0</v>
      </c>
      <c r="M1056">
        <v>4</v>
      </c>
      <c r="N1056">
        <v>0</v>
      </c>
      <c r="O1056">
        <v>0</v>
      </c>
      <c r="P1056">
        <v>41.2</v>
      </c>
      <c r="Q1056">
        <v>26</v>
      </c>
      <c r="R1056">
        <v>26</v>
      </c>
      <c r="S1056">
        <v>0</v>
      </c>
      <c r="T1056">
        <v>0</v>
      </c>
      <c r="U1056" s="1">
        <v>0</v>
      </c>
      <c r="V1056">
        <v>67.2</v>
      </c>
    </row>
    <row r="1057" spans="1:22" ht="15">
      <c r="A1057" s="4">
        <v>1050</v>
      </c>
      <c r="B1057">
        <v>1840</v>
      </c>
      <c r="C1057" t="s">
        <v>2452</v>
      </c>
      <c r="D1057" t="s">
        <v>82</v>
      </c>
      <c r="E1057" t="s">
        <v>2453</v>
      </c>
      <c r="F1057" t="s">
        <v>2454</v>
      </c>
      <c r="G1057" t="str">
        <f>"200909000117"</f>
        <v>200909000117</v>
      </c>
      <c r="H1057">
        <v>43.2</v>
      </c>
      <c r="I1057">
        <v>0</v>
      </c>
      <c r="K1057">
        <v>12</v>
      </c>
      <c r="M1057">
        <v>4</v>
      </c>
      <c r="N1057">
        <v>12</v>
      </c>
      <c r="O1057">
        <v>0</v>
      </c>
      <c r="P1057">
        <v>59.2</v>
      </c>
      <c r="Q1057">
        <v>8</v>
      </c>
      <c r="R1057">
        <v>8</v>
      </c>
      <c r="S1057">
        <v>0</v>
      </c>
      <c r="T1057">
        <v>0</v>
      </c>
      <c r="U1057" s="1">
        <v>0</v>
      </c>
      <c r="V1057">
        <v>67.2</v>
      </c>
    </row>
    <row r="1058" spans="1:22" ht="15">
      <c r="A1058" s="4">
        <v>1051</v>
      </c>
      <c r="B1058">
        <v>2106</v>
      </c>
      <c r="C1058" t="s">
        <v>2455</v>
      </c>
      <c r="D1058" t="s">
        <v>2456</v>
      </c>
      <c r="E1058" t="s">
        <v>2457</v>
      </c>
      <c r="F1058" t="s">
        <v>2458</v>
      </c>
      <c r="G1058" t="str">
        <f>"00208278"</f>
        <v>00208278</v>
      </c>
      <c r="H1058">
        <v>43.2</v>
      </c>
      <c r="I1058">
        <v>10</v>
      </c>
      <c r="L1058">
        <v>4</v>
      </c>
      <c r="M1058">
        <v>4</v>
      </c>
      <c r="N1058">
        <v>4</v>
      </c>
      <c r="O1058">
        <v>0</v>
      </c>
      <c r="P1058">
        <v>61.2</v>
      </c>
      <c r="Q1058">
        <v>0</v>
      </c>
      <c r="R1058">
        <v>0</v>
      </c>
      <c r="S1058">
        <v>6</v>
      </c>
      <c r="T1058">
        <v>0</v>
      </c>
      <c r="U1058" s="1">
        <v>0</v>
      </c>
      <c r="V1058">
        <v>67.2</v>
      </c>
    </row>
    <row r="1059" spans="1:22" ht="15">
      <c r="A1059" s="4">
        <v>1052</v>
      </c>
      <c r="B1059">
        <v>1944</v>
      </c>
      <c r="C1059" t="s">
        <v>2459</v>
      </c>
      <c r="D1059" t="s">
        <v>22</v>
      </c>
      <c r="E1059" t="s">
        <v>41</v>
      </c>
      <c r="F1059" t="s">
        <v>2460</v>
      </c>
      <c r="G1059" t="str">
        <f>"00049455"</f>
        <v>00049455</v>
      </c>
      <c r="H1059">
        <v>40</v>
      </c>
      <c r="I1059">
        <v>0</v>
      </c>
      <c r="J1059">
        <v>8</v>
      </c>
      <c r="M1059">
        <v>4</v>
      </c>
      <c r="N1059">
        <v>8</v>
      </c>
      <c r="O1059">
        <v>0</v>
      </c>
      <c r="P1059">
        <v>52</v>
      </c>
      <c r="Q1059">
        <v>15</v>
      </c>
      <c r="R1059">
        <v>15</v>
      </c>
      <c r="S1059">
        <v>0</v>
      </c>
      <c r="T1059">
        <v>0</v>
      </c>
      <c r="U1059" s="1">
        <v>0</v>
      </c>
      <c r="V1059">
        <v>67</v>
      </c>
    </row>
    <row r="1060" spans="1:22" ht="15">
      <c r="A1060" s="4">
        <v>1053</v>
      </c>
      <c r="B1060">
        <v>2507</v>
      </c>
      <c r="C1060" t="s">
        <v>2461</v>
      </c>
      <c r="D1060" t="s">
        <v>339</v>
      </c>
      <c r="E1060" t="s">
        <v>90</v>
      </c>
      <c r="F1060" t="s">
        <v>2462</v>
      </c>
      <c r="G1060" t="str">
        <f>"00483562"</f>
        <v>00483562</v>
      </c>
      <c r="H1060">
        <v>36</v>
      </c>
      <c r="I1060">
        <v>0</v>
      </c>
      <c r="L1060">
        <v>4</v>
      </c>
      <c r="M1060">
        <v>4</v>
      </c>
      <c r="N1060">
        <v>4</v>
      </c>
      <c r="O1060">
        <v>0</v>
      </c>
      <c r="P1060">
        <v>44</v>
      </c>
      <c r="Q1060">
        <v>23</v>
      </c>
      <c r="R1060">
        <v>23</v>
      </c>
      <c r="S1060">
        <v>0</v>
      </c>
      <c r="T1060">
        <v>0</v>
      </c>
      <c r="U1060" s="1">
        <v>0</v>
      </c>
      <c r="V1060">
        <v>67</v>
      </c>
    </row>
    <row r="1061" spans="1:22" ht="15">
      <c r="A1061" s="4">
        <v>1054</v>
      </c>
      <c r="B1061">
        <v>3227</v>
      </c>
      <c r="C1061" t="s">
        <v>302</v>
      </c>
      <c r="D1061" t="s">
        <v>179</v>
      </c>
      <c r="E1061" t="s">
        <v>90</v>
      </c>
      <c r="F1061" t="s">
        <v>2463</v>
      </c>
      <c r="G1061" t="str">
        <f>"00161316"</f>
        <v>00161316</v>
      </c>
      <c r="H1061">
        <v>21.84</v>
      </c>
      <c r="I1061">
        <v>10</v>
      </c>
      <c r="M1061">
        <v>0</v>
      </c>
      <c r="N1061">
        <v>0</v>
      </c>
      <c r="O1061">
        <v>0</v>
      </c>
      <c r="P1061">
        <v>31.84</v>
      </c>
      <c r="Q1061">
        <v>32</v>
      </c>
      <c r="R1061">
        <v>32</v>
      </c>
      <c r="S1061">
        <v>3</v>
      </c>
      <c r="T1061">
        <v>0</v>
      </c>
      <c r="U1061" s="1">
        <v>0</v>
      </c>
      <c r="V1061">
        <v>66.84</v>
      </c>
    </row>
    <row r="1062" spans="1:22" ht="15">
      <c r="A1062" s="4">
        <v>1055</v>
      </c>
      <c r="B1062">
        <v>1685</v>
      </c>
      <c r="C1062" t="s">
        <v>2464</v>
      </c>
      <c r="D1062" t="s">
        <v>2465</v>
      </c>
      <c r="E1062" t="s">
        <v>59</v>
      </c>
      <c r="F1062" t="s">
        <v>2466</v>
      </c>
      <c r="G1062" t="str">
        <f>"00490829"</f>
        <v>00490829</v>
      </c>
      <c r="H1062">
        <v>28.8</v>
      </c>
      <c r="I1062">
        <v>10</v>
      </c>
      <c r="M1062">
        <v>0</v>
      </c>
      <c r="N1062">
        <v>0</v>
      </c>
      <c r="O1062">
        <v>0</v>
      </c>
      <c r="P1062">
        <v>38.8</v>
      </c>
      <c r="Q1062">
        <v>25</v>
      </c>
      <c r="R1062">
        <v>25</v>
      </c>
      <c r="S1062">
        <v>3</v>
      </c>
      <c r="T1062">
        <v>0</v>
      </c>
      <c r="U1062" s="1">
        <v>0</v>
      </c>
      <c r="V1062">
        <v>66.8</v>
      </c>
    </row>
    <row r="1063" spans="1:22" ht="15">
      <c r="A1063" s="4">
        <v>1056</v>
      </c>
      <c r="B1063">
        <v>1089</v>
      </c>
      <c r="C1063" t="s">
        <v>2467</v>
      </c>
      <c r="D1063" t="s">
        <v>2217</v>
      </c>
      <c r="E1063" t="s">
        <v>334</v>
      </c>
      <c r="F1063" t="s">
        <v>2468</v>
      </c>
      <c r="G1063" t="str">
        <f>"00151911"</f>
        <v>00151911</v>
      </c>
      <c r="H1063">
        <v>28.8</v>
      </c>
      <c r="I1063">
        <v>0</v>
      </c>
      <c r="J1063">
        <v>8</v>
      </c>
      <c r="M1063">
        <v>4</v>
      </c>
      <c r="N1063">
        <v>8</v>
      </c>
      <c r="O1063">
        <v>0</v>
      </c>
      <c r="P1063">
        <v>40.8</v>
      </c>
      <c r="Q1063">
        <v>26</v>
      </c>
      <c r="R1063">
        <v>26</v>
      </c>
      <c r="S1063">
        <v>0</v>
      </c>
      <c r="T1063">
        <v>0</v>
      </c>
      <c r="U1063" s="1">
        <v>0</v>
      </c>
      <c r="V1063">
        <v>66.8</v>
      </c>
    </row>
    <row r="1064" spans="1:22" ht="15">
      <c r="A1064" s="4">
        <v>1057</v>
      </c>
      <c r="B1064">
        <v>2070</v>
      </c>
      <c r="C1064" t="s">
        <v>2469</v>
      </c>
      <c r="D1064" t="s">
        <v>480</v>
      </c>
      <c r="E1064" t="s">
        <v>2470</v>
      </c>
      <c r="F1064" t="s">
        <v>2471</v>
      </c>
      <c r="G1064" t="str">
        <f>"00502600"</f>
        <v>00502600</v>
      </c>
      <c r="H1064">
        <v>33.76</v>
      </c>
      <c r="I1064">
        <v>10</v>
      </c>
      <c r="M1064">
        <v>0</v>
      </c>
      <c r="N1064">
        <v>0</v>
      </c>
      <c r="O1064">
        <v>0</v>
      </c>
      <c r="P1064">
        <v>43.76</v>
      </c>
      <c r="Q1064">
        <v>17</v>
      </c>
      <c r="R1064">
        <v>17</v>
      </c>
      <c r="S1064">
        <v>6</v>
      </c>
      <c r="T1064">
        <v>0</v>
      </c>
      <c r="U1064" s="1">
        <v>0</v>
      </c>
      <c r="V1064">
        <v>66.76</v>
      </c>
    </row>
    <row r="1065" spans="1:22" ht="15">
      <c r="A1065" s="4">
        <v>1058</v>
      </c>
      <c r="B1065">
        <v>828</v>
      </c>
      <c r="C1065" t="s">
        <v>2472</v>
      </c>
      <c r="D1065" t="s">
        <v>643</v>
      </c>
      <c r="E1065" t="s">
        <v>1166</v>
      </c>
      <c r="F1065" t="s">
        <v>2473</v>
      </c>
      <c r="G1065" t="str">
        <f>"00163717"</f>
        <v>00163717</v>
      </c>
      <c r="H1065">
        <v>57.6</v>
      </c>
      <c r="I1065">
        <v>0</v>
      </c>
      <c r="M1065">
        <v>0</v>
      </c>
      <c r="N1065">
        <v>0</v>
      </c>
      <c r="O1065">
        <v>0</v>
      </c>
      <c r="P1065">
        <v>57.6</v>
      </c>
      <c r="Q1065">
        <v>0</v>
      </c>
      <c r="R1065">
        <v>0</v>
      </c>
      <c r="S1065">
        <v>9</v>
      </c>
      <c r="T1065">
        <v>0</v>
      </c>
      <c r="U1065" s="1">
        <v>0</v>
      </c>
      <c r="V1065">
        <v>66.6</v>
      </c>
    </row>
    <row r="1066" spans="1:22" ht="15">
      <c r="A1066" s="4">
        <v>1059</v>
      </c>
      <c r="B1066">
        <v>416</v>
      </c>
      <c r="C1066" t="s">
        <v>2474</v>
      </c>
      <c r="D1066" t="s">
        <v>189</v>
      </c>
      <c r="E1066" t="s">
        <v>19</v>
      </c>
      <c r="F1066" t="s">
        <v>2475</v>
      </c>
      <c r="G1066" t="str">
        <f>"00161580"</f>
        <v>00161580</v>
      </c>
      <c r="H1066">
        <v>21.6</v>
      </c>
      <c r="I1066">
        <v>10</v>
      </c>
      <c r="M1066">
        <v>0</v>
      </c>
      <c r="N1066">
        <v>0</v>
      </c>
      <c r="O1066">
        <v>0</v>
      </c>
      <c r="P1066">
        <v>31.6</v>
      </c>
      <c r="Q1066">
        <v>29</v>
      </c>
      <c r="R1066">
        <v>29</v>
      </c>
      <c r="S1066">
        <v>6</v>
      </c>
      <c r="T1066">
        <v>0</v>
      </c>
      <c r="U1066" s="1">
        <v>0</v>
      </c>
      <c r="V1066">
        <v>66.6</v>
      </c>
    </row>
    <row r="1067" spans="1:22" ht="15">
      <c r="A1067" s="4">
        <v>1060</v>
      </c>
      <c r="B1067">
        <v>568</v>
      </c>
      <c r="C1067" t="s">
        <v>957</v>
      </c>
      <c r="D1067" t="s">
        <v>40</v>
      </c>
      <c r="E1067" t="s">
        <v>19</v>
      </c>
      <c r="F1067" t="s">
        <v>2476</v>
      </c>
      <c r="G1067" t="str">
        <f>"200801008134"</f>
        <v>200801008134</v>
      </c>
      <c r="H1067">
        <v>28.6</v>
      </c>
      <c r="I1067">
        <v>0</v>
      </c>
      <c r="L1067">
        <v>4</v>
      </c>
      <c r="M1067">
        <v>4</v>
      </c>
      <c r="N1067">
        <v>4</v>
      </c>
      <c r="O1067">
        <v>0</v>
      </c>
      <c r="P1067">
        <v>36.6</v>
      </c>
      <c r="Q1067">
        <v>30</v>
      </c>
      <c r="R1067">
        <v>30</v>
      </c>
      <c r="S1067">
        <v>0</v>
      </c>
      <c r="T1067">
        <v>0</v>
      </c>
      <c r="U1067" s="1">
        <v>0</v>
      </c>
      <c r="V1067">
        <v>66.6</v>
      </c>
    </row>
    <row r="1068" spans="1:22" ht="15">
      <c r="A1068" s="4">
        <v>1061</v>
      </c>
      <c r="B1068">
        <v>3327</v>
      </c>
      <c r="C1068" t="s">
        <v>2477</v>
      </c>
      <c r="D1068" t="s">
        <v>357</v>
      </c>
      <c r="E1068" t="s">
        <v>19</v>
      </c>
      <c r="F1068" t="s">
        <v>2478</v>
      </c>
      <c r="G1068" t="str">
        <f>"00503873"</f>
        <v>00503873</v>
      </c>
      <c r="H1068">
        <v>50.4</v>
      </c>
      <c r="I1068">
        <v>0</v>
      </c>
      <c r="L1068">
        <v>4</v>
      </c>
      <c r="M1068">
        <v>4</v>
      </c>
      <c r="N1068">
        <v>4</v>
      </c>
      <c r="O1068">
        <v>0</v>
      </c>
      <c r="P1068">
        <v>58.4</v>
      </c>
      <c r="Q1068">
        <v>8</v>
      </c>
      <c r="R1068">
        <v>8</v>
      </c>
      <c r="S1068">
        <v>0</v>
      </c>
      <c r="T1068">
        <v>0</v>
      </c>
      <c r="U1068" s="1">
        <v>0</v>
      </c>
      <c r="V1068">
        <v>66.4</v>
      </c>
    </row>
    <row r="1069" spans="1:22" ht="15">
      <c r="A1069" s="4">
        <v>1062</v>
      </c>
      <c r="B1069">
        <v>2416</v>
      </c>
      <c r="C1069" t="s">
        <v>2479</v>
      </c>
      <c r="D1069" t="s">
        <v>26</v>
      </c>
      <c r="E1069" t="s">
        <v>11</v>
      </c>
      <c r="F1069" t="s">
        <v>2480</v>
      </c>
      <c r="G1069" t="str">
        <f>"00529806"</f>
        <v>00529806</v>
      </c>
      <c r="H1069">
        <v>50.4</v>
      </c>
      <c r="I1069">
        <v>0</v>
      </c>
      <c r="J1069">
        <v>8</v>
      </c>
      <c r="L1069">
        <v>4</v>
      </c>
      <c r="M1069">
        <v>4</v>
      </c>
      <c r="N1069">
        <v>12</v>
      </c>
      <c r="O1069">
        <v>0</v>
      </c>
      <c r="P1069">
        <v>66.4</v>
      </c>
      <c r="Q1069">
        <v>0</v>
      </c>
      <c r="R1069">
        <v>0</v>
      </c>
      <c r="S1069">
        <v>0</v>
      </c>
      <c r="T1069">
        <v>0</v>
      </c>
      <c r="U1069" s="1">
        <v>0</v>
      </c>
      <c r="V1069">
        <v>66.4</v>
      </c>
    </row>
    <row r="1070" spans="1:22" ht="15">
      <c r="A1070" s="4">
        <v>1063</v>
      </c>
      <c r="B1070">
        <v>1503</v>
      </c>
      <c r="C1070" t="s">
        <v>2481</v>
      </c>
      <c r="D1070" t="s">
        <v>2217</v>
      </c>
      <c r="E1070" t="s">
        <v>73</v>
      </c>
      <c r="F1070" t="s">
        <v>2482</v>
      </c>
      <c r="G1070" t="str">
        <f>"00529937"</f>
        <v>00529937</v>
      </c>
      <c r="H1070">
        <v>50.4</v>
      </c>
      <c r="I1070">
        <v>0</v>
      </c>
      <c r="J1070">
        <v>8</v>
      </c>
      <c r="M1070">
        <v>4</v>
      </c>
      <c r="N1070">
        <v>8</v>
      </c>
      <c r="O1070">
        <v>0</v>
      </c>
      <c r="P1070">
        <v>62.4</v>
      </c>
      <c r="Q1070">
        <v>4</v>
      </c>
      <c r="R1070">
        <v>4</v>
      </c>
      <c r="S1070">
        <v>0</v>
      </c>
      <c r="T1070">
        <v>0</v>
      </c>
      <c r="U1070" s="1">
        <v>0</v>
      </c>
      <c r="V1070">
        <v>66.4</v>
      </c>
    </row>
    <row r="1071" spans="1:22" ht="15">
      <c r="A1071" s="4">
        <v>1064</v>
      </c>
      <c r="B1071">
        <v>285</v>
      </c>
      <c r="C1071" t="s">
        <v>2483</v>
      </c>
      <c r="D1071" t="s">
        <v>1407</v>
      </c>
      <c r="E1071" t="s">
        <v>190</v>
      </c>
      <c r="F1071" t="s">
        <v>2484</v>
      </c>
      <c r="G1071" t="str">
        <f>"00004842"</f>
        <v>00004842</v>
      </c>
      <c r="H1071">
        <v>50.4</v>
      </c>
      <c r="I1071">
        <v>0</v>
      </c>
      <c r="J1071">
        <v>8</v>
      </c>
      <c r="L1071">
        <v>4</v>
      </c>
      <c r="M1071">
        <v>4</v>
      </c>
      <c r="N1071">
        <v>12</v>
      </c>
      <c r="O1071">
        <v>0</v>
      </c>
      <c r="P1071">
        <v>66.4</v>
      </c>
      <c r="Q1071">
        <v>0</v>
      </c>
      <c r="R1071">
        <v>0</v>
      </c>
      <c r="S1071">
        <v>0</v>
      </c>
      <c r="T1071">
        <v>0</v>
      </c>
      <c r="U1071" s="1">
        <v>0</v>
      </c>
      <c r="V1071">
        <v>66.4</v>
      </c>
    </row>
    <row r="1072" spans="1:22" ht="15">
      <c r="A1072" s="4">
        <v>1065</v>
      </c>
      <c r="B1072">
        <v>2953</v>
      </c>
      <c r="C1072" t="s">
        <v>2485</v>
      </c>
      <c r="D1072" t="s">
        <v>1371</v>
      </c>
      <c r="E1072" t="s">
        <v>19</v>
      </c>
      <c r="F1072" t="s">
        <v>2486</v>
      </c>
      <c r="G1072" t="str">
        <f>"00163158"</f>
        <v>00163158</v>
      </c>
      <c r="H1072">
        <v>36.4</v>
      </c>
      <c r="I1072">
        <v>0</v>
      </c>
      <c r="M1072">
        <v>4</v>
      </c>
      <c r="N1072">
        <v>0</v>
      </c>
      <c r="O1072">
        <v>0</v>
      </c>
      <c r="P1072">
        <v>40.4</v>
      </c>
      <c r="Q1072">
        <v>23</v>
      </c>
      <c r="R1072">
        <v>23</v>
      </c>
      <c r="S1072">
        <v>3</v>
      </c>
      <c r="T1072">
        <v>0</v>
      </c>
      <c r="U1072" s="1">
        <v>0</v>
      </c>
      <c r="V1072">
        <v>66.4</v>
      </c>
    </row>
    <row r="1073" spans="1:22" ht="15">
      <c r="A1073" s="4">
        <v>1066</v>
      </c>
      <c r="B1073">
        <v>1189</v>
      </c>
      <c r="C1073" t="s">
        <v>789</v>
      </c>
      <c r="D1073" t="s">
        <v>193</v>
      </c>
      <c r="E1073" t="s">
        <v>344</v>
      </c>
      <c r="F1073" t="s">
        <v>2487</v>
      </c>
      <c r="G1073" t="str">
        <f>"00158554"</f>
        <v>00158554</v>
      </c>
      <c r="H1073">
        <v>38.24</v>
      </c>
      <c r="I1073">
        <v>0</v>
      </c>
      <c r="M1073">
        <v>4</v>
      </c>
      <c r="N1073">
        <v>0</v>
      </c>
      <c r="O1073">
        <v>0</v>
      </c>
      <c r="P1073">
        <v>42.24</v>
      </c>
      <c r="Q1073">
        <v>18</v>
      </c>
      <c r="R1073">
        <v>18</v>
      </c>
      <c r="S1073">
        <v>6</v>
      </c>
      <c r="T1073">
        <v>0</v>
      </c>
      <c r="U1073" s="1">
        <v>0</v>
      </c>
      <c r="V1073">
        <v>66.24</v>
      </c>
    </row>
    <row r="1074" spans="1:22" ht="15">
      <c r="A1074" s="4">
        <v>1067</v>
      </c>
      <c r="B1074">
        <v>2888</v>
      </c>
      <c r="C1074" t="s">
        <v>2488</v>
      </c>
      <c r="D1074" t="s">
        <v>453</v>
      </c>
      <c r="E1074" t="s">
        <v>403</v>
      </c>
      <c r="F1074" t="s">
        <v>2489</v>
      </c>
      <c r="G1074" t="str">
        <f>"00508097"</f>
        <v>00508097</v>
      </c>
      <c r="H1074">
        <v>43.2</v>
      </c>
      <c r="I1074">
        <v>0</v>
      </c>
      <c r="M1074">
        <v>0</v>
      </c>
      <c r="N1074">
        <v>0</v>
      </c>
      <c r="O1074">
        <v>0</v>
      </c>
      <c r="P1074">
        <v>43.2</v>
      </c>
      <c r="Q1074">
        <v>23</v>
      </c>
      <c r="R1074">
        <v>23</v>
      </c>
      <c r="S1074">
        <v>0</v>
      </c>
      <c r="T1074">
        <v>0</v>
      </c>
      <c r="U1074" s="1">
        <v>0</v>
      </c>
      <c r="V1074">
        <v>66.2</v>
      </c>
    </row>
    <row r="1075" spans="1:22" ht="15">
      <c r="A1075" s="4">
        <v>1068</v>
      </c>
      <c r="B1075">
        <v>2306</v>
      </c>
      <c r="C1075" t="s">
        <v>2490</v>
      </c>
      <c r="D1075" t="s">
        <v>29</v>
      </c>
      <c r="E1075" t="s">
        <v>90</v>
      </c>
      <c r="F1075" t="s">
        <v>2491</v>
      </c>
      <c r="G1075" t="str">
        <f>"00475391"</f>
        <v>00475391</v>
      </c>
      <c r="H1075">
        <v>43.2</v>
      </c>
      <c r="I1075">
        <v>0</v>
      </c>
      <c r="M1075">
        <v>4</v>
      </c>
      <c r="N1075">
        <v>0</v>
      </c>
      <c r="O1075">
        <v>2</v>
      </c>
      <c r="P1075">
        <v>49.2</v>
      </c>
      <c r="Q1075">
        <v>17</v>
      </c>
      <c r="R1075">
        <v>17</v>
      </c>
      <c r="S1075">
        <v>0</v>
      </c>
      <c r="T1075">
        <v>0</v>
      </c>
      <c r="U1075" s="1">
        <v>0</v>
      </c>
      <c r="V1075">
        <v>66.2</v>
      </c>
    </row>
    <row r="1076" spans="1:22" ht="15">
      <c r="A1076" s="4">
        <v>1069</v>
      </c>
      <c r="B1076">
        <v>1570</v>
      </c>
      <c r="C1076" t="s">
        <v>2492</v>
      </c>
      <c r="D1076" t="s">
        <v>2493</v>
      </c>
      <c r="E1076" t="s">
        <v>2494</v>
      </c>
      <c r="F1076" t="s">
        <v>2495</v>
      </c>
      <c r="G1076" t="str">
        <f>"00278997"</f>
        <v>00278997</v>
      </c>
      <c r="H1076">
        <v>43.2</v>
      </c>
      <c r="I1076">
        <v>10</v>
      </c>
      <c r="L1076">
        <v>4</v>
      </c>
      <c r="M1076">
        <v>4</v>
      </c>
      <c r="N1076">
        <v>4</v>
      </c>
      <c r="O1076">
        <v>2</v>
      </c>
      <c r="P1076">
        <v>63.2</v>
      </c>
      <c r="Q1076">
        <v>0</v>
      </c>
      <c r="R1076">
        <v>0</v>
      </c>
      <c r="S1076">
        <v>3</v>
      </c>
      <c r="T1076">
        <v>0</v>
      </c>
      <c r="U1076" s="1">
        <v>0</v>
      </c>
      <c r="V1076">
        <v>66.2</v>
      </c>
    </row>
    <row r="1077" spans="1:22" ht="15">
      <c r="A1077" s="4">
        <v>1070</v>
      </c>
      <c r="B1077">
        <v>2303</v>
      </c>
      <c r="C1077" t="s">
        <v>2496</v>
      </c>
      <c r="D1077" t="s">
        <v>259</v>
      </c>
      <c r="E1077" t="s">
        <v>317</v>
      </c>
      <c r="F1077" t="s">
        <v>2497</v>
      </c>
      <c r="G1077" t="str">
        <f>"200801003845"</f>
        <v>200801003845</v>
      </c>
      <c r="H1077">
        <v>43.2</v>
      </c>
      <c r="I1077">
        <v>10</v>
      </c>
      <c r="M1077">
        <v>4</v>
      </c>
      <c r="N1077">
        <v>0</v>
      </c>
      <c r="O1077">
        <v>0</v>
      </c>
      <c r="P1077">
        <v>57.2</v>
      </c>
      <c r="Q1077">
        <v>0</v>
      </c>
      <c r="R1077">
        <v>0</v>
      </c>
      <c r="S1077">
        <v>9</v>
      </c>
      <c r="T1077">
        <v>0</v>
      </c>
      <c r="U1077" s="1">
        <v>0</v>
      </c>
      <c r="V1077">
        <v>66.2</v>
      </c>
    </row>
    <row r="1078" spans="1:22" ht="15">
      <c r="A1078" s="4">
        <v>1071</v>
      </c>
      <c r="B1078">
        <v>190</v>
      </c>
      <c r="C1078" t="s">
        <v>2498</v>
      </c>
      <c r="D1078" t="s">
        <v>2499</v>
      </c>
      <c r="E1078" t="s">
        <v>2369</v>
      </c>
      <c r="F1078" t="s">
        <v>2500</v>
      </c>
      <c r="G1078" t="str">
        <f>"00510571"</f>
        <v>00510571</v>
      </c>
      <c r="H1078">
        <v>7.2</v>
      </c>
      <c r="I1078">
        <v>0</v>
      </c>
      <c r="M1078">
        <v>0</v>
      </c>
      <c r="N1078">
        <v>0</v>
      </c>
      <c r="O1078">
        <v>0</v>
      </c>
      <c r="P1078">
        <v>7.2</v>
      </c>
      <c r="Q1078">
        <v>59</v>
      </c>
      <c r="R1078">
        <v>59</v>
      </c>
      <c r="S1078">
        <v>0</v>
      </c>
      <c r="T1078">
        <v>0</v>
      </c>
      <c r="U1078" s="1">
        <v>0</v>
      </c>
      <c r="V1078">
        <v>66.2</v>
      </c>
    </row>
    <row r="1079" spans="1:22" ht="15">
      <c r="A1079" s="4">
        <v>1072</v>
      </c>
      <c r="B1079">
        <v>3321</v>
      </c>
      <c r="C1079" t="s">
        <v>1150</v>
      </c>
      <c r="D1079" t="s">
        <v>176</v>
      </c>
      <c r="E1079" t="s">
        <v>157</v>
      </c>
      <c r="F1079" t="s">
        <v>2501</v>
      </c>
      <c r="G1079" t="str">
        <f>"00441831"</f>
        <v>00441831</v>
      </c>
      <c r="H1079">
        <v>40</v>
      </c>
      <c r="I1079">
        <v>0</v>
      </c>
      <c r="M1079">
        <v>4</v>
      </c>
      <c r="N1079">
        <v>0</v>
      </c>
      <c r="O1079">
        <v>0</v>
      </c>
      <c r="P1079">
        <v>44</v>
      </c>
      <c r="Q1079">
        <v>16</v>
      </c>
      <c r="R1079">
        <v>16</v>
      </c>
      <c r="S1079">
        <v>6</v>
      </c>
      <c r="T1079">
        <v>0</v>
      </c>
      <c r="U1079" s="1">
        <v>0</v>
      </c>
      <c r="V1079">
        <v>66</v>
      </c>
    </row>
    <row r="1080" spans="1:22" ht="15">
      <c r="A1080" s="4">
        <v>1073</v>
      </c>
      <c r="B1080">
        <v>2885</v>
      </c>
      <c r="C1080" t="s">
        <v>2502</v>
      </c>
      <c r="D1080" t="s">
        <v>156</v>
      </c>
      <c r="E1080" t="s">
        <v>69</v>
      </c>
      <c r="F1080" t="s">
        <v>2503</v>
      </c>
      <c r="G1080" t="str">
        <f>"00532113"</f>
        <v>00532113</v>
      </c>
      <c r="H1080">
        <v>28</v>
      </c>
      <c r="I1080">
        <v>10</v>
      </c>
      <c r="M1080">
        <v>4</v>
      </c>
      <c r="N1080">
        <v>0</v>
      </c>
      <c r="O1080">
        <v>0</v>
      </c>
      <c r="P1080">
        <v>42</v>
      </c>
      <c r="Q1080">
        <v>24</v>
      </c>
      <c r="R1080">
        <v>24</v>
      </c>
      <c r="S1080">
        <v>0</v>
      </c>
      <c r="T1080">
        <v>0</v>
      </c>
      <c r="U1080" s="1">
        <v>0</v>
      </c>
      <c r="V1080">
        <v>66</v>
      </c>
    </row>
    <row r="1081" spans="1:22" ht="15">
      <c r="A1081" s="4">
        <v>1074</v>
      </c>
      <c r="B1081">
        <v>2589</v>
      </c>
      <c r="C1081" t="s">
        <v>2504</v>
      </c>
      <c r="D1081" t="s">
        <v>89</v>
      </c>
      <c r="E1081" t="s">
        <v>19</v>
      </c>
      <c r="F1081" t="s">
        <v>2505</v>
      </c>
      <c r="G1081" t="str">
        <f>"00508242"</f>
        <v>00508242</v>
      </c>
      <c r="H1081">
        <v>36</v>
      </c>
      <c r="I1081">
        <v>0</v>
      </c>
      <c r="L1081">
        <v>4</v>
      </c>
      <c r="M1081">
        <v>4</v>
      </c>
      <c r="N1081">
        <v>4</v>
      </c>
      <c r="O1081">
        <v>0</v>
      </c>
      <c r="P1081">
        <v>44</v>
      </c>
      <c r="Q1081">
        <v>19</v>
      </c>
      <c r="R1081">
        <v>19</v>
      </c>
      <c r="S1081">
        <v>3</v>
      </c>
      <c r="T1081">
        <v>0</v>
      </c>
      <c r="U1081" s="1">
        <v>0</v>
      </c>
      <c r="V1081">
        <v>66</v>
      </c>
    </row>
    <row r="1082" spans="1:22" ht="15">
      <c r="A1082" s="4">
        <v>1075</v>
      </c>
      <c r="B1082">
        <v>1649</v>
      </c>
      <c r="C1082" t="s">
        <v>2506</v>
      </c>
      <c r="D1082" t="s">
        <v>477</v>
      </c>
      <c r="E1082" t="s">
        <v>112</v>
      </c>
      <c r="F1082" t="s">
        <v>2507</v>
      </c>
      <c r="G1082" t="str">
        <f>"201509000030"</f>
        <v>201509000030</v>
      </c>
      <c r="H1082">
        <v>0</v>
      </c>
      <c r="I1082">
        <v>0</v>
      </c>
      <c r="L1082">
        <v>4</v>
      </c>
      <c r="M1082">
        <v>4</v>
      </c>
      <c r="N1082">
        <v>4</v>
      </c>
      <c r="O1082">
        <v>0</v>
      </c>
      <c r="P1082">
        <v>8</v>
      </c>
      <c r="Q1082">
        <v>58</v>
      </c>
      <c r="R1082">
        <v>58</v>
      </c>
      <c r="S1082">
        <v>0</v>
      </c>
      <c r="T1082">
        <v>0</v>
      </c>
      <c r="U1082" s="1">
        <v>0</v>
      </c>
      <c r="V1082">
        <v>66</v>
      </c>
    </row>
    <row r="1083" spans="1:22" ht="15">
      <c r="A1083" s="4">
        <v>1076</v>
      </c>
      <c r="B1083">
        <v>734</v>
      </c>
      <c r="C1083" t="s">
        <v>2508</v>
      </c>
      <c r="D1083" t="s">
        <v>130</v>
      </c>
      <c r="E1083" t="s">
        <v>447</v>
      </c>
      <c r="F1083" t="s">
        <v>2509</v>
      </c>
      <c r="G1083" t="str">
        <f>"00505074"</f>
        <v>00505074</v>
      </c>
      <c r="H1083">
        <v>24.84</v>
      </c>
      <c r="I1083">
        <v>10</v>
      </c>
      <c r="J1083">
        <v>8</v>
      </c>
      <c r="M1083">
        <v>4</v>
      </c>
      <c r="N1083">
        <v>8</v>
      </c>
      <c r="O1083">
        <v>0</v>
      </c>
      <c r="P1083">
        <v>46.84</v>
      </c>
      <c r="Q1083">
        <v>13</v>
      </c>
      <c r="R1083">
        <v>13</v>
      </c>
      <c r="S1083">
        <v>6</v>
      </c>
      <c r="T1083">
        <v>0</v>
      </c>
      <c r="U1083" s="1">
        <v>0</v>
      </c>
      <c r="V1083">
        <v>65.84</v>
      </c>
    </row>
    <row r="1084" spans="1:22" ht="15">
      <c r="A1084" s="4">
        <v>1077</v>
      </c>
      <c r="B1084">
        <v>485</v>
      </c>
      <c r="C1084" t="s">
        <v>2510</v>
      </c>
      <c r="D1084" t="s">
        <v>1199</v>
      </c>
      <c r="E1084" t="s">
        <v>19</v>
      </c>
      <c r="F1084" t="s">
        <v>2511</v>
      </c>
      <c r="G1084" t="str">
        <f>"00513701"</f>
        <v>00513701</v>
      </c>
      <c r="H1084">
        <v>28.72</v>
      </c>
      <c r="I1084">
        <v>0</v>
      </c>
      <c r="M1084">
        <v>0</v>
      </c>
      <c r="N1084">
        <v>0</v>
      </c>
      <c r="O1084">
        <v>0</v>
      </c>
      <c r="P1084">
        <v>28.72</v>
      </c>
      <c r="Q1084">
        <v>37</v>
      </c>
      <c r="R1084">
        <v>37</v>
      </c>
      <c r="S1084">
        <v>0</v>
      </c>
      <c r="T1084">
        <v>0</v>
      </c>
      <c r="U1084" s="1">
        <v>0</v>
      </c>
      <c r="V1084">
        <v>65.72</v>
      </c>
    </row>
    <row r="1085" spans="1:22" ht="15">
      <c r="A1085" s="4">
        <v>1078</v>
      </c>
      <c r="B1085">
        <v>1920</v>
      </c>
      <c r="C1085" t="s">
        <v>2512</v>
      </c>
      <c r="D1085" t="s">
        <v>121</v>
      </c>
      <c r="E1085" t="s">
        <v>23</v>
      </c>
      <c r="F1085" t="s">
        <v>2513</v>
      </c>
      <c r="G1085" t="str">
        <f>"201410010737"</f>
        <v>201410010737</v>
      </c>
      <c r="H1085">
        <v>57.6</v>
      </c>
      <c r="I1085">
        <v>0</v>
      </c>
      <c r="L1085">
        <v>4</v>
      </c>
      <c r="M1085">
        <v>4</v>
      </c>
      <c r="N1085">
        <v>4</v>
      </c>
      <c r="O1085">
        <v>0</v>
      </c>
      <c r="P1085">
        <v>65.6</v>
      </c>
      <c r="Q1085">
        <v>0</v>
      </c>
      <c r="R1085">
        <v>0</v>
      </c>
      <c r="S1085">
        <v>0</v>
      </c>
      <c r="T1085">
        <v>0</v>
      </c>
      <c r="U1085" s="1">
        <v>0</v>
      </c>
      <c r="V1085">
        <v>65.6</v>
      </c>
    </row>
    <row r="1086" spans="1:22" ht="15">
      <c r="A1086" s="4">
        <v>1079</v>
      </c>
      <c r="B1086">
        <v>2485</v>
      </c>
      <c r="C1086" t="s">
        <v>2514</v>
      </c>
      <c r="D1086" t="s">
        <v>89</v>
      </c>
      <c r="E1086" t="s">
        <v>83</v>
      </c>
      <c r="F1086" t="s">
        <v>2515</v>
      </c>
      <c r="G1086" t="str">
        <f>"00186454"</f>
        <v>00186454</v>
      </c>
      <c r="H1086">
        <v>57.6</v>
      </c>
      <c r="I1086">
        <v>0</v>
      </c>
      <c r="L1086">
        <v>4</v>
      </c>
      <c r="M1086">
        <v>4</v>
      </c>
      <c r="N1086">
        <v>4</v>
      </c>
      <c r="O1086">
        <v>0</v>
      </c>
      <c r="P1086">
        <v>65.6</v>
      </c>
      <c r="Q1086">
        <v>0</v>
      </c>
      <c r="R1086">
        <v>0</v>
      </c>
      <c r="S1086">
        <v>0</v>
      </c>
      <c r="T1086">
        <v>0</v>
      </c>
      <c r="U1086" s="1">
        <v>0</v>
      </c>
      <c r="V1086">
        <v>65.6</v>
      </c>
    </row>
    <row r="1087" spans="1:22" ht="15">
      <c r="A1087" s="4">
        <v>1080</v>
      </c>
      <c r="B1087">
        <v>567</v>
      </c>
      <c r="C1087" t="s">
        <v>2516</v>
      </c>
      <c r="D1087" t="s">
        <v>2517</v>
      </c>
      <c r="E1087" t="s">
        <v>295</v>
      </c>
      <c r="F1087" t="s">
        <v>2518</v>
      </c>
      <c r="G1087" t="str">
        <f>"00530584"</f>
        <v>00530584</v>
      </c>
      <c r="H1087">
        <v>57.6</v>
      </c>
      <c r="I1087">
        <v>0</v>
      </c>
      <c r="L1087">
        <v>4</v>
      </c>
      <c r="M1087">
        <v>4</v>
      </c>
      <c r="N1087">
        <v>4</v>
      </c>
      <c r="O1087">
        <v>0</v>
      </c>
      <c r="P1087">
        <v>65.6</v>
      </c>
      <c r="Q1087">
        <v>0</v>
      </c>
      <c r="R1087">
        <v>0</v>
      </c>
      <c r="S1087">
        <v>0</v>
      </c>
      <c r="T1087">
        <v>0</v>
      </c>
      <c r="U1087" s="1">
        <v>0</v>
      </c>
      <c r="V1087">
        <v>65.6</v>
      </c>
    </row>
    <row r="1088" spans="1:22" ht="15">
      <c r="A1088" s="4">
        <v>1081</v>
      </c>
      <c r="B1088">
        <v>1962</v>
      </c>
      <c r="C1088" t="s">
        <v>2519</v>
      </c>
      <c r="D1088" t="s">
        <v>14</v>
      </c>
      <c r="E1088" t="s">
        <v>514</v>
      </c>
      <c r="F1088" t="s">
        <v>2520</v>
      </c>
      <c r="G1088" t="str">
        <f>"00512360"</f>
        <v>00512360</v>
      </c>
      <c r="H1088">
        <v>57.6</v>
      </c>
      <c r="I1088">
        <v>0</v>
      </c>
      <c r="L1088">
        <v>4</v>
      </c>
      <c r="M1088">
        <v>4</v>
      </c>
      <c r="N1088">
        <v>4</v>
      </c>
      <c r="O1088">
        <v>0</v>
      </c>
      <c r="P1088">
        <v>65.6</v>
      </c>
      <c r="Q1088">
        <v>0</v>
      </c>
      <c r="R1088">
        <v>0</v>
      </c>
      <c r="S1088">
        <v>0</v>
      </c>
      <c r="T1088">
        <v>0</v>
      </c>
      <c r="U1088" s="1">
        <v>0</v>
      </c>
      <c r="V1088">
        <v>65.6</v>
      </c>
    </row>
    <row r="1089" spans="1:22" ht="15">
      <c r="A1089" s="4">
        <v>1082</v>
      </c>
      <c r="B1089">
        <v>2926</v>
      </c>
      <c r="C1089" t="s">
        <v>2521</v>
      </c>
      <c r="D1089" t="s">
        <v>89</v>
      </c>
      <c r="E1089" t="s">
        <v>19</v>
      </c>
      <c r="F1089" t="s">
        <v>2522</v>
      </c>
      <c r="G1089" t="str">
        <f>"00507563"</f>
        <v>00507563</v>
      </c>
      <c r="H1089">
        <v>21.6</v>
      </c>
      <c r="I1089">
        <v>0</v>
      </c>
      <c r="L1089">
        <v>4</v>
      </c>
      <c r="M1089">
        <v>0</v>
      </c>
      <c r="N1089">
        <v>4</v>
      </c>
      <c r="O1089">
        <v>0</v>
      </c>
      <c r="P1089">
        <v>25.6</v>
      </c>
      <c r="Q1089">
        <v>34</v>
      </c>
      <c r="R1089">
        <v>34</v>
      </c>
      <c r="S1089">
        <v>6</v>
      </c>
      <c r="T1089">
        <v>0</v>
      </c>
      <c r="U1089" s="1">
        <v>0</v>
      </c>
      <c r="V1089">
        <v>65.6</v>
      </c>
    </row>
    <row r="1090" spans="1:22" ht="15">
      <c r="A1090" s="4">
        <v>1083</v>
      </c>
      <c r="B1090">
        <v>2319</v>
      </c>
      <c r="C1090" t="s">
        <v>1478</v>
      </c>
      <c r="D1090" t="s">
        <v>2053</v>
      </c>
      <c r="E1090" t="s">
        <v>65</v>
      </c>
      <c r="F1090" t="s">
        <v>2523</v>
      </c>
      <c r="G1090" t="str">
        <f>"00529126"</f>
        <v>00529126</v>
      </c>
      <c r="H1090">
        <v>57.6</v>
      </c>
      <c r="I1090">
        <v>0</v>
      </c>
      <c r="J1090">
        <v>8</v>
      </c>
      <c r="M1090">
        <v>0</v>
      </c>
      <c r="N1090">
        <v>8</v>
      </c>
      <c r="O1090">
        <v>0</v>
      </c>
      <c r="P1090">
        <v>65.6</v>
      </c>
      <c r="Q1090">
        <v>0</v>
      </c>
      <c r="R1090">
        <v>0</v>
      </c>
      <c r="S1090">
        <v>0</v>
      </c>
      <c r="T1090">
        <v>0</v>
      </c>
      <c r="U1090" s="1">
        <v>0</v>
      </c>
      <c r="V1090">
        <v>65.6</v>
      </c>
    </row>
    <row r="1091" spans="1:22" ht="15">
      <c r="A1091" s="4">
        <v>1084</v>
      </c>
      <c r="B1091">
        <v>239</v>
      </c>
      <c r="C1091" t="s">
        <v>2524</v>
      </c>
      <c r="D1091" t="s">
        <v>1577</v>
      </c>
      <c r="E1091" t="s">
        <v>23</v>
      </c>
      <c r="F1091" t="s">
        <v>2525</v>
      </c>
      <c r="G1091" t="str">
        <f>"00154755"</f>
        <v>00154755</v>
      </c>
      <c r="H1091">
        <v>21.6</v>
      </c>
      <c r="I1091">
        <v>10</v>
      </c>
      <c r="L1091">
        <v>4</v>
      </c>
      <c r="M1091">
        <v>4</v>
      </c>
      <c r="N1091">
        <v>4</v>
      </c>
      <c r="O1091">
        <v>2</v>
      </c>
      <c r="P1091">
        <v>41.6</v>
      </c>
      <c r="Q1091">
        <v>24</v>
      </c>
      <c r="R1091">
        <v>24</v>
      </c>
      <c r="S1091">
        <v>0</v>
      </c>
      <c r="T1091">
        <v>0</v>
      </c>
      <c r="U1091" s="1">
        <v>0</v>
      </c>
      <c r="V1091">
        <v>65.6</v>
      </c>
    </row>
    <row r="1092" spans="1:22" ht="15">
      <c r="A1092" s="4">
        <v>1085</v>
      </c>
      <c r="B1092">
        <v>1287</v>
      </c>
      <c r="C1092" t="s">
        <v>2526</v>
      </c>
      <c r="D1092" t="s">
        <v>156</v>
      </c>
      <c r="E1092" t="s">
        <v>712</v>
      </c>
      <c r="F1092" t="s">
        <v>2527</v>
      </c>
      <c r="G1092" t="str">
        <f>"00150346"</f>
        <v>00150346</v>
      </c>
      <c r="H1092">
        <v>57.6</v>
      </c>
      <c r="I1092">
        <v>0</v>
      </c>
      <c r="L1092">
        <v>4</v>
      </c>
      <c r="M1092">
        <v>4</v>
      </c>
      <c r="N1092">
        <v>4</v>
      </c>
      <c r="O1092">
        <v>0</v>
      </c>
      <c r="P1092">
        <v>65.6</v>
      </c>
      <c r="Q1092">
        <v>0</v>
      </c>
      <c r="R1092">
        <v>0</v>
      </c>
      <c r="S1092">
        <v>0</v>
      </c>
      <c r="T1092">
        <v>0</v>
      </c>
      <c r="U1092" s="1">
        <v>0</v>
      </c>
      <c r="V1092">
        <v>65.6</v>
      </c>
    </row>
    <row r="1093" spans="1:22" ht="15">
      <c r="A1093" s="4">
        <v>1086</v>
      </c>
      <c r="B1093">
        <v>1393</v>
      </c>
      <c r="C1093" t="s">
        <v>2089</v>
      </c>
      <c r="D1093" t="s">
        <v>89</v>
      </c>
      <c r="E1093" t="s">
        <v>157</v>
      </c>
      <c r="F1093" t="s">
        <v>2528</v>
      </c>
      <c r="G1093" t="str">
        <f>"00491646"</f>
        <v>00491646</v>
      </c>
      <c r="H1093">
        <v>57.6</v>
      </c>
      <c r="I1093">
        <v>0</v>
      </c>
      <c r="L1093">
        <v>4</v>
      </c>
      <c r="M1093">
        <v>4</v>
      </c>
      <c r="N1093">
        <v>4</v>
      </c>
      <c r="O1093">
        <v>0</v>
      </c>
      <c r="P1093">
        <v>65.6</v>
      </c>
      <c r="Q1093">
        <v>0</v>
      </c>
      <c r="R1093">
        <v>0</v>
      </c>
      <c r="S1093">
        <v>0</v>
      </c>
      <c r="T1093">
        <v>0</v>
      </c>
      <c r="U1093" s="1">
        <v>0</v>
      </c>
      <c r="V1093">
        <v>65.6</v>
      </c>
    </row>
    <row r="1094" spans="1:22" ht="15">
      <c r="A1094" s="4">
        <v>1087</v>
      </c>
      <c r="B1094">
        <v>1948</v>
      </c>
      <c r="C1094" t="s">
        <v>2529</v>
      </c>
      <c r="D1094" t="s">
        <v>582</v>
      </c>
      <c r="E1094" t="s">
        <v>447</v>
      </c>
      <c r="F1094" t="s">
        <v>2530</v>
      </c>
      <c r="G1094" t="str">
        <f>"00530731"</f>
        <v>00530731</v>
      </c>
      <c r="H1094">
        <v>21.6</v>
      </c>
      <c r="I1094">
        <v>0</v>
      </c>
      <c r="M1094">
        <v>4</v>
      </c>
      <c r="N1094">
        <v>0</v>
      </c>
      <c r="O1094">
        <v>0</v>
      </c>
      <c r="P1094">
        <v>25.6</v>
      </c>
      <c r="Q1094">
        <v>37</v>
      </c>
      <c r="R1094">
        <v>37</v>
      </c>
      <c r="S1094">
        <v>3</v>
      </c>
      <c r="T1094">
        <v>0</v>
      </c>
      <c r="U1094" s="1">
        <v>0</v>
      </c>
      <c r="V1094">
        <v>65.6</v>
      </c>
    </row>
    <row r="1095" spans="1:22" ht="15">
      <c r="A1095" s="4">
        <v>1088</v>
      </c>
      <c r="B1095">
        <v>120</v>
      </c>
      <c r="C1095" t="s">
        <v>2531</v>
      </c>
      <c r="D1095" t="s">
        <v>170</v>
      </c>
      <c r="E1095" t="s">
        <v>1180</v>
      </c>
      <c r="F1095" t="s">
        <v>2532</v>
      </c>
      <c r="G1095" t="str">
        <f>"00442073"</f>
        <v>00442073</v>
      </c>
      <c r="H1095">
        <v>29.72</v>
      </c>
      <c r="I1095">
        <v>0</v>
      </c>
      <c r="M1095">
        <v>0</v>
      </c>
      <c r="N1095">
        <v>0</v>
      </c>
      <c r="O1095">
        <v>0</v>
      </c>
      <c r="P1095">
        <v>29.72</v>
      </c>
      <c r="Q1095">
        <v>0</v>
      </c>
      <c r="R1095">
        <v>0</v>
      </c>
      <c r="S1095">
        <v>3</v>
      </c>
      <c r="T1095">
        <v>32.8</v>
      </c>
      <c r="U1095" s="1">
        <v>0</v>
      </c>
      <c r="V1095">
        <v>65.52</v>
      </c>
    </row>
    <row r="1096" spans="1:22" ht="15">
      <c r="A1096" s="4">
        <v>1089</v>
      </c>
      <c r="B1096">
        <v>281</v>
      </c>
      <c r="C1096" t="s">
        <v>2533</v>
      </c>
      <c r="D1096" t="s">
        <v>76</v>
      </c>
      <c r="E1096" t="s">
        <v>90</v>
      </c>
      <c r="F1096" t="s">
        <v>2534</v>
      </c>
      <c r="G1096" t="str">
        <f>"00512981"</f>
        <v>00512981</v>
      </c>
      <c r="H1096">
        <v>36.44</v>
      </c>
      <c r="I1096">
        <v>10</v>
      </c>
      <c r="L1096">
        <v>4</v>
      </c>
      <c r="M1096">
        <v>4</v>
      </c>
      <c r="N1096">
        <v>4</v>
      </c>
      <c r="O1096">
        <v>2</v>
      </c>
      <c r="P1096">
        <v>56.44</v>
      </c>
      <c r="Q1096">
        <v>0</v>
      </c>
      <c r="R1096">
        <v>0</v>
      </c>
      <c r="S1096">
        <v>9</v>
      </c>
      <c r="T1096">
        <v>0</v>
      </c>
      <c r="U1096" s="1">
        <v>0</v>
      </c>
      <c r="V1096">
        <v>65.44</v>
      </c>
    </row>
    <row r="1097" spans="1:22" ht="15">
      <c r="A1097" s="4">
        <v>1090</v>
      </c>
      <c r="B1097">
        <v>565</v>
      </c>
      <c r="C1097" t="s">
        <v>2535</v>
      </c>
      <c r="D1097" t="s">
        <v>643</v>
      </c>
      <c r="E1097" t="s">
        <v>99</v>
      </c>
      <c r="F1097" t="s">
        <v>2536</v>
      </c>
      <c r="G1097" t="str">
        <f>"00441734"</f>
        <v>00441734</v>
      </c>
      <c r="H1097">
        <v>50.4</v>
      </c>
      <c r="I1097">
        <v>0</v>
      </c>
      <c r="M1097">
        <v>0</v>
      </c>
      <c r="N1097">
        <v>0</v>
      </c>
      <c r="O1097">
        <v>0</v>
      </c>
      <c r="P1097">
        <v>50.4</v>
      </c>
      <c r="Q1097">
        <v>12</v>
      </c>
      <c r="R1097">
        <v>12</v>
      </c>
      <c r="S1097">
        <v>3</v>
      </c>
      <c r="T1097">
        <v>0</v>
      </c>
      <c r="U1097" s="1">
        <v>0</v>
      </c>
      <c r="V1097">
        <v>65.4</v>
      </c>
    </row>
    <row r="1098" spans="1:22" ht="15">
      <c r="A1098" s="4">
        <v>1091</v>
      </c>
      <c r="B1098">
        <v>2510</v>
      </c>
      <c r="C1098" t="s">
        <v>2537</v>
      </c>
      <c r="D1098" t="s">
        <v>643</v>
      </c>
      <c r="E1098" t="s">
        <v>317</v>
      </c>
      <c r="F1098" t="s">
        <v>2538</v>
      </c>
      <c r="G1098" t="str">
        <f>"00347515"</f>
        <v>00347515</v>
      </c>
      <c r="H1098">
        <v>50.4</v>
      </c>
      <c r="I1098">
        <v>0</v>
      </c>
      <c r="J1098">
        <v>8</v>
      </c>
      <c r="M1098">
        <v>4</v>
      </c>
      <c r="N1098">
        <v>8</v>
      </c>
      <c r="O1098">
        <v>0</v>
      </c>
      <c r="P1098">
        <v>62.4</v>
      </c>
      <c r="Q1098">
        <v>0</v>
      </c>
      <c r="R1098">
        <v>0</v>
      </c>
      <c r="S1098">
        <v>3</v>
      </c>
      <c r="T1098">
        <v>0</v>
      </c>
      <c r="U1098" s="1">
        <v>0</v>
      </c>
      <c r="V1098">
        <v>65.4</v>
      </c>
    </row>
    <row r="1099" spans="1:22" ht="15">
      <c r="A1099" s="4">
        <v>1092</v>
      </c>
      <c r="B1099">
        <v>701</v>
      </c>
      <c r="C1099" t="s">
        <v>2539</v>
      </c>
      <c r="D1099" t="s">
        <v>127</v>
      </c>
      <c r="E1099" t="s">
        <v>99</v>
      </c>
      <c r="F1099" t="s">
        <v>2540</v>
      </c>
      <c r="G1099" t="str">
        <f>"201511025865"</f>
        <v>201511025865</v>
      </c>
      <c r="H1099">
        <v>38.4</v>
      </c>
      <c r="I1099">
        <v>0</v>
      </c>
      <c r="M1099">
        <v>4</v>
      </c>
      <c r="N1099">
        <v>0</v>
      </c>
      <c r="O1099">
        <v>2</v>
      </c>
      <c r="P1099">
        <v>44.4</v>
      </c>
      <c r="Q1099">
        <v>18</v>
      </c>
      <c r="R1099">
        <v>18</v>
      </c>
      <c r="S1099">
        <v>3</v>
      </c>
      <c r="T1099">
        <v>0</v>
      </c>
      <c r="U1099" s="1">
        <v>0</v>
      </c>
      <c r="V1099">
        <v>65.4</v>
      </c>
    </row>
    <row r="1100" spans="1:22" ht="15">
      <c r="A1100" s="4">
        <v>1093</v>
      </c>
      <c r="B1100">
        <v>468</v>
      </c>
      <c r="C1100" t="s">
        <v>2541</v>
      </c>
      <c r="D1100" t="s">
        <v>582</v>
      </c>
      <c r="E1100" t="s">
        <v>197</v>
      </c>
      <c r="F1100" t="s">
        <v>2542</v>
      </c>
      <c r="G1100" t="str">
        <f>"00477777"</f>
        <v>00477777</v>
      </c>
      <c r="H1100">
        <v>34.28</v>
      </c>
      <c r="I1100">
        <v>0</v>
      </c>
      <c r="J1100">
        <v>8</v>
      </c>
      <c r="M1100">
        <v>4</v>
      </c>
      <c r="N1100">
        <v>8</v>
      </c>
      <c r="O1100">
        <v>0</v>
      </c>
      <c r="P1100">
        <v>46.28</v>
      </c>
      <c r="Q1100">
        <v>16</v>
      </c>
      <c r="R1100">
        <v>16</v>
      </c>
      <c r="S1100">
        <v>3</v>
      </c>
      <c r="T1100">
        <v>0</v>
      </c>
      <c r="U1100" s="1">
        <v>0</v>
      </c>
      <c r="V1100">
        <v>65.28</v>
      </c>
    </row>
    <row r="1101" spans="1:22" ht="15">
      <c r="A1101" s="4">
        <v>1094</v>
      </c>
      <c r="B1101">
        <v>853</v>
      </c>
      <c r="C1101" t="s">
        <v>2543</v>
      </c>
      <c r="D1101" t="s">
        <v>697</v>
      </c>
      <c r="E1101" t="s">
        <v>403</v>
      </c>
      <c r="F1101" t="s">
        <v>2544</v>
      </c>
      <c r="G1101" t="str">
        <f>"00526911"</f>
        <v>00526911</v>
      </c>
      <c r="H1101">
        <v>38.24</v>
      </c>
      <c r="I1101">
        <v>0</v>
      </c>
      <c r="M1101">
        <v>4</v>
      </c>
      <c r="N1101">
        <v>0</v>
      </c>
      <c r="O1101">
        <v>0</v>
      </c>
      <c r="P1101">
        <v>42.24</v>
      </c>
      <c r="Q1101">
        <v>23</v>
      </c>
      <c r="R1101">
        <v>23</v>
      </c>
      <c r="S1101">
        <v>0</v>
      </c>
      <c r="T1101">
        <v>0</v>
      </c>
      <c r="U1101" s="1">
        <v>0</v>
      </c>
      <c r="V1101">
        <v>65.24</v>
      </c>
    </row>
    <row r="1102" spans="1:22" ht="15">
      <c r="A1102" s="4">
        <v>1095</v>
      </c>
      <c r="B1102">
        <v>218</v>
      </c>
      <c r="C1102" t="s">
        <v>2545</v>
      </c>
      <c r="D1102" t="s">
        <v>89</v>
      </c>
      <c r="E1102" t="s">
        <v>11</v>
      </c>
      <c r="F1102" t="s">
        <v>2546</v>
      </c>
      <c r="G1102" t="str">
        <f>"00212100"</f>
        <v>00212100</v>
      </c>
      <c r="H1102">
        <v>43.2</v>
      </c>
      <c r="I1102">
        <v>0</v>
      </c>
      <c r="L1102">
        <v>4</v>
      </c>
      <c r="M1102">
        <v>4</v>
      </c>
      <c r="N1102">
        <v>4</v>
      </c>
      <c r="O1102">
        <v>0</v>
      </c>
      <c r="P1102">
        <v>51.2</v>
      </c>
      <c r="Q1102">
        <v>8</v>
      </c>
      <c r="R1102">
        <v>8</v>
      </c>
      <c r="S1102">
        <v>6</v>
      </c>
      <c r="T1102">
        <v>0</v>
      </c>
      <c r="U1102" s="1">
        <v>0</v>
      </c>
      <c r="V1102">
        <v>65.2</v>
      </c>
    </row>
    <row r="1103" spans="1:22" ht="15">
      <c r="A1103" s="4">
        <v>1096</v>
      </c>
      <c r="B1103">
        <v>2169</v>
      </c>
      <c r="C1103" t="s">
        <v>2547</v>
      </c>
      <c r="D1103" t="s">
        <v>2548</v>
      </c>
      <c r="E1103" t="s">
        <v>83</v>
      </c>
      <c r="F1103" t="s">
        <v>2549</v>
      </c>
      <c r="G1103" t="str">
        <f>"00483040"</f>
        <v>00483040</v>
      </c>
      <c r="H1103">
        <v>43.2</v>
      </c>
      <c r="I1103">
        <v>0</v>
      </c>
      <c r="M1103">
        <v>4</v>
      </c>
      <c r="N1103">
        <v>0</v>
      </c>
      <c r="O1103">
        <v>0</v>
      </c>
      <c r="P1103">
        <v>47.2</v>
      </c>
      <c r="Q1103">
        <v>18</v>
      </c>
      <c r="R1103">
        <v>18</v>
      </c>
      <c r="S1103">
        <v>0</v>
      </c>
      <c r="T1103">
        <v>0</v>
      </c>
      <c r="U1103" s="1">
        <v>0</v>
      </c>
      <c r="V1103">
        <v>65.2</v>
      </c>
    </row>
    <row r="1104" spans="1:22" ht="15">
      <c r="A1104" s="4">
        <v>1097</v>
      </c>
      <c r="B1104">
        <v>891</v>
      </c>
      <c r="C1104" t="s">
        <v>2550</v>
      </c>
      <c r="D1104" t="s">
        <v>89</v>
      </c>
      <c r="E1104" t="s">
        <v>90</v>
      </c>
      <c r="F1104" t="s">
        <v>2551</v>
      </c>
      <c r="G1104" t="str">
        <f>"00198008"</f>
        <v>00198008</v>
      </c>
      <c r="H1104">
        <v>7.2</v>
      </c>
      <c r="I1104">
        <v>0</v>
      </c>
      <c r="L1104">
        <v>4</v>
      </c>
      <c r="M1104">
        <v>4</v>
      </c>
      <c r="N1104">
        <v>4</v>
      </c>
      <c r="O1104">
        <v>2</v>
      </c>
      <c r="P1104">
        <v>17.2</v>
      </c>
      <c r="Q1104">
        <v>48</v>
      </c>
      <c r="R1104">
        <v>48</v>
      </c>
      <c r="S1104">
        <v>0</v>
      </c>
      <c r="T1104">
        <v>0</v>
      </c>
      <c r="U1104" s="1">
        <v>0</v>
      </c>
      <c r="V1104">
        <v>65.2</v>
      </c>
    </row>
    <row r="1105" spans="1:22" ht="15">
      <c r="A1105" s="4">
        <v>1098</v>
      </c>
      <c r="B1105">
        <v>1505</v>
      </c>
      <c r="C1105" t="s">
        <v>953</v>
      </c>
      <c r="D1105" t="s">
        <v>173</v>
      </c>
      <c r="E1105" t="s">
        <v>90</v>
      </c>
      <c r="F1105" t="s">
        <v>2552</v>
      </c>
      <c r="G1105" t="str">
        <f>"00532689"</f>
        <v>00532689</v>
      </c>
      <c r="H1105">
        <v>34.2</v>
      </c>
      <c r="I1105">
        <v>10</v>
      </c>
      <c r="M1105">
        <v>4</v>
      </c>
      <c r="N1105">
        <v>0</v>
      </c>
      <c r="O1105">
        <v>0</v>
      </c>
      <c r="P1105">
        <v>48.2</v>
      </c>
      <c r="Q1105">
        <v>17</v>
      </c>
      <c r="R1105">
        <v>17</v>
      </c>
      <c r="S1105">
        <v>0</v>
      </c>
      <c r="T1105">
        <v>0</v>
      </c>
      <c r="U1105" s="1">
        <v>0</v>
      </c>
      <c r="V1105">
        <v>65.2</v>
      </c>
    </row>
    <row r="1106" spans="1:22" ht="15">
      <c r="A1106" s="4">
        <v>1099</v>
      </c>
      <c r="B1106">
        <v>1087</v>
      </c>
      <c r="C1106" t="s">
        <v>2553</v>
      </c>
      <c r="D1106" t="s">
        <v>19</v>
      </c>
      <c r="E1106" t="s">
        <v>2554</v>
      </c>
      <c r="F1106" t="s">
        <v>2555</v>
      </c>
      <c r="G1106" t="str">
        <f>"00163236"</f>
        <v>00163236</v>
      </c>
      <c r="H1106">
        <v>43.2</v>
      </c>
      <c r="I1106">
        <v>0</v>
      </c>
      <c r="M1106">
        <v>0</v>
      </c>
      <c r="N1106">
        <v>0</v>
      </c>
      <c r="O1106">
        <v>0</v>
      </c>
      <c r="P1106">
        <v>43.2</v>
      </c>
      <c r="Q1106">
        <v>16</v>
      </c>
      <c r="R1106">
        <v>16</v>
      </c>
      <c r="S1106">
        <v>6</v>
      </c>
      <c r="T1106">
        <v>0</v>
      </c>
      <c r="U1106" s="1" t="s">
        <v>6251</v>
      </c>
      <c r="V1106">
        <v>65.2</v>
      </c>
    </row>
    <row r="1107" spans="1:22" ht="15">
      <c r="A1107" s="4">
        <v>1100</v>
      </c>
      <c r="B1107">
        <v>850</v>
      </c>
      <c r="C1107" t="s">
        <v>2556</v>
      </c>
      <c r="D1107" t="s">
        <v>1296</v>
      </c>
      <c r="E1107" t="s">
        <v>447</v>
      </c>
      <c r="F1107" t="s">
        <v>2557</v>
      </c>
      <c r="G1107" t="str">
        <f>"00520293"</f>
        <v>00520293</v>
      </c>
      <c r="H1107">
        <v>43.2</v>
      </c>
      <c r="I1107">
        <v>0</v>
      </c>
      <c r="L1107">
        <v>4</v>
      </c>
      <c r="M1107">
        <v>4</v>
      </c>
      <c r="N1107">
        <v>4</v>
      </c>
      <c r="O1107">
        <v>2</v>
      </c>
      <c r="P1107">
        <v>53.2</v>
      </c>
      <c r="Q1107">
        <v>6</v>
      </c>
      <c r="R1107">
        <v>6</v>
      </c>
      <c r="S1107">
        <v>6</v>
      </c>
      <c r="T1107">
        <v>0</v>
      </c>
      <c r="U1107" s="1">
        <v>0</v>
      </c>
      <c r="V1107">
        <v>65.2</v>
      </c>
    </row>
    <row r="1108" spans="1:22" ht="15">
      <c r="A1108" s="4">
        <v>1101</v>
      </c>
      <c r="B1108">
        <v>2817</v>
      </c>
      <c r="C1108" t="s">
        <v>2558</v>
      </c>
      <c r="D1108" t="s">
        <v>40</v>
      </c>
      <c r="E1108" t="s">
        <v>1138</v>
      </c>
      <c r="F1108" t="s">
        <v>2559</v>
      </c>
      <c r="G1108" t="str">
        <f>"00477841"</f>
        <v>00477841</v>
      </c>
      <c r="H1108">
        <v>43.2</v>
      </c>
      <c r="I1108">
        <v>0</v>
      </c>
      <c r="M1108">
        <v>0</v>
      </c>
      <c r="N1108">
        <v>0</v>
      </c>
      <c r="O1108">
        <v>0</v>
      </c>
      <c r="P1108">
        <v>43.2</v>
      </c>
      <c r="Q1108">
        <v>16</v>
      </c>
      <c r="R1108">
        <v>16</v>
      </c>
      <c r="S1108">
        <v>6</v>
      </c>
      <c r="T1108">
        <v>0</v>
      </c>
      <c r="U1108" s="1">
        <v>0</v>
      </c>
      <c r="V1108">
        <v>65.2</v>
      </c>
    </row>
    <row r="1109" spans="1:22" ht="15">
      <c r="A1109" s="4">
        <v>1102</v>
      </c>
      <c r="B1109">
        <v>2394</v>
      </c>
      <c r="C1109" t="s">
        <v>2560</v>
      </c>
      <c r="D1109" t="s">
        <v>29</v>
      </c>
      <c r="E1109" t="s">
        <v>73</v>
      </c>
      <c r="F1109" t="s">
        <v>2561</v>
      </c>
      <c r="G1109" t="str">
        <f>"00504257"</f>
        <v>00504257</v>
      </c>
      <c r="H1109">
        <v>43.2</v>
      </c>
      <c r="I1109">
        <v>0</v>
      </c>
      <c r="J1109">
        <v>8</v>
      </c>
      <c r="M1109">
        <v>4</v>
      </c>
      <c r="N1109">
        <v>8</v>
      </c>
      <c r="O1109">
        <v>0</v>
      </c>
      <c r="P1109">
        <v>55.2</v>
      </c>
      <c r="Q1109">
        <v>10</v>
      </c>
      <c r="R1109">
        <v>10</v>
      </c>
      <c r="S1109">
        <v>0</v>
      </c>
      <c r="T1109">
        <v>0</v>
      </c>
      <c r="U1109" s="1">
        <v>0</v>
      </c>
      <c r="V1109">
        <v>65.2</v>
      </c>
    </row>
    <row r="1110" spans="1:22" ht="15">
      <c r="A1110" s="4">
        <v>1103</v>
      </c>
      <c r="B1110">
        <v>2844</v>
      </c>
      <c r="C1110" t="s">
        <v>2562</v>
      </c>
      <c r="D1110" t="s">
        <v>211</v>
      </c>
      <c r="E1110" t="s">
        <v>99</v>
      </c>
      <c r="F1110" t="s">
        <v>2563</v>
      </c>
      <c r="G1110" t="str">
        <f>"00503741"</f>
        <v>00503741</v>
      </c>
      <c r="H1110">
        <v>7.2</v>
      </c>
      <c r="I1110">
        <v>10</v>
      </c>
      <c r="M1110">
        <v>4</v>
      </c>
      <c r="N1110">
        <v>0</v>
      </c>
      <c r="O1110">
        <v>0</v>
      </c>
      <c r="P1110">
        <v>21.2</v>
      </c>
      <c r="Q1110">
        <v>41</v>
      </c>
      <c r="R1110">
        <v>41</v>
      </c>
      <c r="S1110">
        <v>3</v>
      </c>
      <c r="T1110">
        <v>0</v>
      </c>
      <c r="U1110" s="1">
        <v>0</v>
      </c>
      <c r="V1110">
        <v>65.2</v>
      </c>
    </row>
    <row r="1111" spans="1:22" ht="15">
      <c r="A1111" s="4">
        <v>1104</v>
      </c>
      <c r="B1111">
        <v>1069</v>
      </c>
      <c r="C1111" t="s">
        <v>2564</v>
      </c>
      <c r="D1111" t="s">
        <v>89</v>
      </c>
      <c r="E1111" t="s">
        <v>41</v>
      </c>
      <c r="F1111" t="s">
        <v>2565</v>
      </c>
      <c r="G1111" t="str">
        <f>"00497656"</f>
        <v>00497656</v>
      </c>
      <c r="H1111">
        <v>36</v>
      </c>
      <c r="I1111">
        <v>0</v>
      </c>
      <c r="M1111">
        <v>0</v>
      </c>
      <c r="N1111">
        <v>0</v>
      </c>
      <c r="O1111">
        <v>0</v>
      </c>
      <c r="P1111">
        <v>36</v>
      </c>
      <c r="Q1111">
        <v>26</v>
      </c>
      <c r="R1111">
        <v>26</v>
      </c>
      <c r="S1111">
        <v>3</v>
      </c>
      <c r="T1111">
        <v>0</v>
      </c>
      <c r="U1111" s="1">
        <v>0</v>
      </c>
      <c r="V1111">
        <v>65</v>
      </c>
    </row>
    <row r="1112" spans="1:22" ht="15">
      <c r="A1112" s="4">
        <v>1105</v>
      </c>
      <c r="B1112">
        <v>3263</v>
      </c>
      <c r="C1112" t="s">
        <v>2566</v>
      </c>
      <c r="D1112" t="s">
        <v>541</v>
      </c>
      <c r="E1112" t="s">
        <v>877</v>
      </c>
      <c r="F1112" t="s">
        <v>2567</v>
      </c>
      <c r="G1112" t="str">
        <f>"00234539"</f>
        <v>00234539</v>
      </c>
      <c r="H1112">
        <v>36.88</v>
      </c>
      <c r="I1112">
        <v>10</v>
      </c>
      <c r="J1112">
        <v>8</v>
      </c>
      <c r="M1112">
        <v>4</v>
      </c>
      <c r="N1112">
        <v>8</v>
      </c>
      <c r="O1112">
        <v>0</v>
      </c>
      <c r="P1112">
        <v>58.88</v>
      </c>
      <c r="Q1112">
        <v>0</v>
      </c>
      <c r="R1112">
        <v>0</v>
      </c>
      <c r="S1112">
        <v>6</v>
      </c>
      <c r="T1112">
        <v>0</v>
      </c>
      <c r="U1112" s="1">
        <v>0</v>
      </c>
      <c r="V1112">
        <v>64.88</v>
      </c>
    </row>
    <row r="1113" spans="1:22" ht="15">
      <c r="A1113" s="4">
        <v>1106</v>
      </c>
      <c r="B1113">
        <v>2974</v>
      </c>
      <c r="C1113" t="s">
        <v>2568</v>
      </c>
      <c r="D1113" t="s">
        <v>36</v>
      </c>
      <c r="E1113" t="s">
        <v>15</v>
      </c>
      <c r="F1113" t="s">
        <v>2569</v>
      </c>
      <c r="G1113" t="str">
        <f>"00531031"</f>
        <v>00531031</v>
      </c>
      <c r="H1113">
        <v>24.88</v>
      </c>
      <c r="I1113">
        <v>0</v>
      </c>
      <c r="M1113">
        <v>0</v>
      </c>
      <c r="N1113">
        <v>0</v>
      </c>
      <c r="O1113">
        <v>0</v>
      </c>
      <c r="P1113">
        <v>24.88</v>
      </c>
      <c r="Q1113">
        <v>34</v>
      </c>
      <c r="R1113">
        <v>34</v>
      </c>
      <c r="S1113">
        <v>6</v>
      </c>
      <c r="T1113">
        <v>0</v>
      </c>
      <c r="U1113" s="1">
        <v>0</v>
      </c>
      <c r="V1113">
        <v>64.88</v>
      </c>
    </row>
    <row r="1114" spans="1:22" ht="15">
      <c r="A1114" s="4">
        <v>1107</v>
      </c>
      <c r="B1114">
        <v>1529</v>
      </c>
      <c r="C1114" t="s">
        <v>2570</v>
      </c>
      <c r="D1114" t="s">
        <v>2571</v>
      </c>
      <c r="E1114" t="s">
        <v>2572</v>
      </c>
      <c r="F1114">
        <v>53566820</v>
      </c>
      <c r="G1114" t="str">
        <f>"00477864"</f>
        <v>00477864</v>
      </c>
      <c r="H1114">
        <v>64.8</v>
      </c>
      <c r="I1114">
        <v>0</v>
      </c>
      <c r="M1114">
        <v>0</v>
      </c>
      <c r="N1114">
        <v>0</v>
      </c>
      <c r="O1114">
        <v>0</v>
      </c>
      <c r="P1114">
        <v>64.8</v>
      </c>
      <c r="Q1114">
        <v>0</v>
      </c>
      <c r="R1114">
        <v>0</v>
      </c>
      <c r="S1114">
        <v>0</v>
      </c>
      <c r="T1114">
        <v>0</v>
      </c>
      <c r="U1114" s="1">
        <v>0</v>
      </c>
      <c r="V1114">
        <v>64.8</v>
      </c>
    </row>
    <row r="1115" spans="1:22" ht="15">
      <c r="A1115" s="4">
        <v>1108</v>
      </c>
      <c r="B1115">
        <v>857</v>
      </c>
      <c r="C1115" t="s">
        <v>2573</v>
      </c>
      <c r="D1115" t="s">
        <v>41</v>
      </c>
      <c r="E1115" t="s">
        <v>19</v>
      </c>
      <c r="F1115" t="s">
        <v>2574</v>
      </c>
      <c r="G1115" t="str">
        <f>"00478544"</f>
        <v>00478544</v>
      </c>
      <c r="H1115">
        <v>64.8</v>
      </c>
      <c r="I1115">
        <v>0</v>
      </c>
      <c r="M1115">
        <v>0</v>
      </c>
      <c r="N1115">
        <v>0</v>
      </c>
      <c r="O1115">
        <v>0</v>
      </c>
      <c r="P1115">
        <v>64.8</v>
      </c>
      <c r="Q1115">
        <v>0</v>
      </c>
      <c r="R1115">
        <v>0</v>
      </c>
      <c r="S1115">
        <v>0</v>
      </c>
      <c r="T1115">
        <v>0</v>
      </c>
      <c r="U1115" s="1">
        <v>0</v>
      </c>
      <c r="V1115">
        <v>64.8</v>
      </c>
    </row>
    <row r="1116" spans="1:22" ht="15">
      <c r="A1116" s="4">
        <v>1109</v>
      </c>
      <c r="B1116">
        <v>1273</v>
      </c>
      <c r="C1116" t="s">
        <v>2575</v>
      </c>
      <c r="D1116" t="s">
        <v>121</v>
      </c>
      <c r="E1116" t="s">
        <v>295</v>
      </c>
      <c r="F1116" t="s">
        <v>2576</v>
      </c>
      <c r="G1116" t="str">
        <f>"00508911"</f>
        <v>00508911</v>
      </c>
      <c r="H1116">
        <v>28.8</v>
      </c>
      <c r="I1116">
        <v>0</v>
      </c>
      <c r="M1116">
        <v>0</v>
      </c>
      <c r="N1116">
        <v>0</v>
      </c>
      <c r="O1116">
        <v>0</v>
      </c>
      <c r="P1116">
        <v>28.8</v>
      </c>
      <c r="Q1116">
        <v>36</v>
      </c>
      <c r="R1116">
        <v>36</v>
      </c>
      <c r="S1116">
        <v>0</v>
      </c>
      <c r="T1116">
        <v>0</v>
      </c>
      <c r="U1116" s="1">
        <v>0</v>
      </c>
      <c r="V1116">
        <v>64.8</v>
      </c>
    </row>
    <row r="1117" spans="1:22" ht="15">
      <c r="A1117" s="4">
        <v>1110</v>
      </c>
      <c r="B1117">
        <v>1175</v>
      </c>
      <c r="C1117" t="s">
        <v>96</v>
      </c>
      <c r="D1117" t="s">
        <v>170</v>
      </c>
      <c r="E1117" t="s">
        <v>183</v>
      </c>
      <c r="F1117" t="s">
        <v>2577</v>
      </c>
      <c r="G1117" t="str">
        <f>"00482204"</f>
        <v>00482204</v>
      </c>
      <c r="H1117">
        <v>64.8</v>
      </c>
      <c r="I1117">
        <v>0</v>
      </c>
      <c r="M1117">
        <v>0</v>
      </c>
      <c r="N1117">
        <v>0</v>
      </c>
      <c r="O1117">
        <v>0</v>
      </c>
      <c r="P1117">
        <v>64.8</v>
      </c>
      <c r="Q1117">
        <v>0</v>
      </c>
      <c r="R1117">
        <v>0</v>
      </c>
      <c r="S1117">
        <v>0</v>
      </c>
      <c r="T1117">
        <v>0</v>
      </c>
      <c r="U1117" s="1">
        <v>0</v>
      </c>
      <c r="V1117">
        <v>64.8</v>
      </c>
    </row>
    <row r="1118" spans="1:22" ht="15">
      <c r="A1118" s="4">
        <v>1111</v>
      </c>
      <c r="B1118">
        <v>2405</v>
      </c>
      <c r="C1118" t="s">
        <v>2578</v>
      </c>
      <c r="D1118" t="s">
        <v>2579</v>
      </c>
      <c r="E1118" t="s">
        <v>90</v>
      </c>
      <c r="F1118" t="s">
        <v>2580</v>
      </c>
      <c r="G1118" t="str">
        <f>"00533671"</f>
        <v>00533671</v>
      </c>
      <c r="H1118">
        <v>28.8</v>
      </c>
      <c r="I1118">
        <v>0</v>
      </c>
      <c r="L1118">
        <v>4</v>
      </c>
      <c r="M1118">
        <v>0</v>
      </c>
      <c r="N1118">
        <v>4</v>
      </c>
      <c r="O1118">
        <v>0</v>
      </c>
      <c r="P1118">
        <v>32.8</v>
      </c>
      <c r="Q1118">
        <v>32</v>
      </c>
      <c r="R1118">
        <v>32</v>
      </c>
      <c r="S1118">
        <v>0</v>
      </c>
      <c r="T1118">
        <v>0</v>
      </c>
      <c r="U1118" s="1">
        <v>0</v>
      </c>
      <c r="V1118">
        <v>64.8</v>
      </c>
    </row>
    <row r="1119" spans="1:22" ht="15">
      <c r="A1119" s="4">
        <v>1112</v>
      </c>
      <c r="B1119">
        <v>1896</v>
      </c>
      <c r="C1119" t="s">
        <v>2581</v>
      </c>
      <c r="D1119" t="s">
        <v>58</v>
      </c>
      <c r="E1119" t="s">
        <v>447</v>
      </c>
      <c r="F1119" t="s">
        <v>2582</v>
      </c>
      <c r="G1119" t="str">
        <f>"00531263"</f>
        <v>00531263</v>
      </c>
      <c r="H1119">
        <v>21.6</v>
      </c>
      <c r="I1119">
        <v>0</v>
      </c>
      <c r="L1119">
        <v>4</v>
      </c>
      <c r="M1119">
        <v>0</v>
      </c>
      <c r="N1119">
        <v>4</v>
      </c>
      <c r="O1119">
        <v>2</v>
      </c>
      <c r="P1119">
        <v>27.6</v>
      </c>
      <c r="Q1119">
        <v>37</v>
      </c>
      <c r="R1119">
        <v>37</v>
      </c>
      <c r="S1119">
        <v>0</v>
      </c>
      <c r="T1119">
        <v>0</v>
      </c>
      <c r="U1119" s="1">
        <v>0</v>
      </c>
      <c r="V1119">
        <v>64.6</v>
      </c>
    </row>
    <row r="1120" spans="1:22" ht="15">
      <c r="A1120" s="4">
        <v>1113</v>
      </c>
      <c r="B1120">
        <v>2802</v>
      </c>
      <c r="C1120" t="s">
        <v>2583</v>
      </c>
      <c r="D1120" t="s">
        <v>280</v>
      </c>
      <c r="E1120" t="s">
        <v>344</v>
      </c>
      <c r="F1120" t="s">
        <v>2584</v>
      </c>
      <c r="G1120" t="str">
        <f>"00523889"</f>
        <v>00523889</v>
      </c>
      <c r="H1120">
        <v>57.6</v>
      </c>
      <c r="I1120">
        <v>0</v>
      </c>
      <c r="M1120">
        <v>4</v>
      </c>
      <c r="N1120">
        <v>0</v>
      </c>
      <c r="O1120">
        <v>0</v>
      </c>
      <c r="P1120">
        <v>61.6</v>
      </c>
      <c r="Q1120">
        <v>0</v>
      </c>
      <c r="R1120">
        <v>0</v>
      </c>
      <c r="S1120">
        <v>3</v>
      </c>
      <c r="T1120">
        <v>0</v>
      </c>
      <c r="U1120" s="1">
        <v>0</v>
      </c>
      <c r="V1120">
        <v>64.6</v>
      </c>
    </row>
    <row r="1121" spans="1:22" ht="15">
      <c r="A1121" s="4">
        <v>1114</v>
      </c>
      <c r="B1121">
        <v>1227</v>
      </c>
      <c r="C1121" t="s">
        <v>2585</v>
      </c>
      <c r="D1121" t="s">
        <v>2586</v>
      </c>
      <c r="E1121" t="s">
        <v>11</v>
      </c>
      <c r="F1121" t="s">
        <v>2587</v>
      </c>
      <c r="G1121" t="str">
        <f>"00501173"</f>
        <v>00501173</v>
      </c>
      <c r="H1121">
        <v>29.6</v>
      </c>
      <c r="I1121">
        <v>0</v>
      </c>
      <c r="M1121">
        <v>4</v>
      </c>
      <c r="N1121">
        <v>0</v>
      </c>
      <c r="O1121">
        <v>0</v>
      </c>
      <c r="P1121">
        <v>33.6</v>
      </c>
      <c r="Q1121">
        <v>31</v>
      </c>
      <c r="R1121">
        <v>31</v>
      </c>
      <c r="S1121">
        <v>0</v>
      </c>
      <c r="T1121">
        <v>0</v>
      </c>
      <c r="U1121" s="1">
        <v>0</v>
      </c>
      <c r="V1121">
        <v>64.6</v>
      </c>
    </row>
    <row r="1122" spans="1:22" ht="15">
      <c r="A1122" s="4">
        <v>1115</v>
      </c>
      <c r="B1122">
        <v>372</v>
      </c>
      <c r="C1122" t="s">
        <v>1758</v>
      </c>
      <c r="D1122" t="s">
        <v>333</v>
      </c>
      <c r="E1122" t="s">
        <v>11</v>
      </c>
      <c r="F1122" t="s">
        <v>2588</v>
      </c>
      <c r="G1122" t="str">
        <f>"201511036775"</f>
        <v>201511036775</v>
      </c>
      <c r="H1122">
        <v>57.6</v>
      </c>
      <c r="I1122">
        <v>0</v>
      </c>
      <c r="M1122">
        <v>4</v>
      </c>
      <c r="N1122">
        <v>0</v>
      </c>
      <c r="O1122">
        <v>0</v>
      </c>
      <c r="P1122">
        <v>61.6</v>
      </c>
      <c r="Q1122">
        <v>0</v>
      </c>
      <c r="R1122">
        <v>0</v>
      </c>
      <c r="S1122">
        <v>3</v>
      </c>
      <c r="T1122">
        <v>0</v>
      </c>
      <c r="U1122" s="1">
        <v>0</v>
      </c>
      <c r="V1122">
        <v>64.6</v>
      </c>
    </row>
    <row r="1123" spans="1:22" ht="15">
      <c r="A1123" s="4">
        <v>1116</v>
      </c>
      <c r="B1123">
        <v>2951</v>
      </c>
      <c r="C1123" t="s">
        <v>2589</v>
      </c>
      <c r="D1123" t="s">
        <v>118</v>
      </c>
      <c r="E1123" t="s">
        <v>23</v>
      </c>
      <c r="F1123" t="s">
        <v>2590</v>
      </c>
      <c r="G1123" t="str">
        <f>"00522949"</f>
        <v>00522949</v>
      </c>
      <c r="H1123">
        <v>22.56</v>
      </c>
      <c r="I1123">
        <v>0</v>
      </c>
      <c r="M1123">
        <v>0</v>
      </c>
      <c r="N1123">
        <v>0</v>
      </c>
      <c r="O1123">
        <v>0</v>
      </c>
      <c r="P1123">
        <v>22.56</v>
      </c>
      <c r="Q1123">
        <v>36</v>
      </c>
      <c r="R1123">
        <v>36</v>
      </c>
      <c r="S1123">
        <v>6</v>
      </c>
      <c r="T1123">
        <v>0</v>
      </c>
      <c r="U1123" s="1">
        <v>0</v>
      </c>
      <c r="V1123">
        <v>64.56</v>
      </c>
    </row>
    <row r="1124" spans="1:22" ht="15">
      <c r="A1124" s="4">
        <v>1117</v>
      </c>
      <c r="B1124">
        <v>410</v>
      </c>
      <c r="C1124" t="s">
        <v>2591</v>
      </c>
      <c r="D1124" t="s">
        <v>2592</v>
      </c>
      <c r="E1124" t="s">
        <v>167</v>
      </c>
      <c r="F1124" t="s">
        <v>2593</v>
      </c>
      <c r="G1124" t="str">
        <f>"00530723"</f>
        <v>00530723</v>
      </c>
      <c r="H1124">
        <v>29.52</v>
      </c>
      <c r="I1124">
        <v>10</v>
      </c>
      <c r="M1124">
        <v>0</v>
      </c>
      <c r="N1124">
        <v>0</v>
      </c>
      <c r="O1124">
        <v>0</v>
      </c>
      <c r="P1124">
        <v>39.52</v>
      </c>
      <c r="Q1124">
        <v>22</v>
      </c>
      <c r="R1124">
        <v>22</v>
      </c>
      <c r="S1124">
        <v>3</v>
      </c>
      <c r="T1124">
        <v>0</v>
      </c>
      <c r="U1124" s="1">
        <v>0</v>
      </c>
      <c r="V1124">
        <v>64.52</v>
      </c>
    </row>
    <row r="1125" spans="1:22" ht="15">
      <c r="A1125" s="4">
        <v>1118</v>
      </c>
      <c r="B1125">
        <v>1439</v>
      </c>
      <c r="C1125" t="s">
        <v>2594</v>
      </c>
      <c r="D1125" t="s">
        <v>26</v>
      </c>
      <c r="E1125" t="s">
        <v>23</v>
      </c>
      <c r="F1125" t="s">
        <v>2595</v>
      </c>
      <c r="G1125" t="str">
        <f>"00530413"</f>
        <v>00530413</v>
      </c>
      <c r="H1125">
        <v>50.4</v>
      </c>
      <c r="I1125">
        <v>0</v>
      </c>
      <c r="L1125">
        <v>4</v>
      </c>
      <c r="M1125">
        <v>4</v>
      </c>
      <c r="N1125">
        <v>4</v>
      </c>
      <c r="O1125">
        <v>0</v>
      </c>
      <c r="P1125">
        <v>58.4</v>
      </c>
      <c r="Q1125">
        <v>0</v>
      </c>
      <c r="R1125">
        <v>0</v>
      </c>
      <c r="S1125">
        <v>6</v>
      </c>
      <c r="T1125">
        <v>0</v>
      </c>
      <c r="U1125" s="1">
        <v>0</v>
      </c>
      <c r="V1125">
        <v>64.4</v>
      </c>
    </row>
    <row r="1126" spans="1:22" ht="15">
      <c r="A1126" s="4">
        <v>1119</v>
      </c>
      <c r="B1126">
        <v>1721</v>
      </c>
      <c r="C1126" t="s">
        <v>2596</v>
      </c>
      <c r="D1126" t="s">
        <v>211</v>
      </c>
      <c r="E1126" t="s">
        <v>86</v>
      </c>
      <c r="F1126" t="s">
        <v>2597</v>
      </c>
      <c r="G1126" t="str">
        <f>"00532161"</f>
        <v>00532161</v>
      </c>
      <c r="H1126">
        <v>50.4</v>
      </c>
      <c r="I1126">
        <v>10</v>
      </c>
      <c r="M1126">
        <v>0</v>
      </c>
      <c r="N1126">
        <v>0</v>
      </c>
      <c r="O1126">
        <v>0</v>
      </c>
      <c r="P1126">
        <v>60.4</v>
      </c>
      <c r="Q1126">
        <v>4</v>
      </c>
      <c r="R1126">
        <v>4</v>
      </c>
      <c r="S1126">
        <v>0</v>
      </c>
      <c r="T1126">
        <v>0</v>
      </c>
      <c r="U1126" s="1">
        <v>0</v>
      </c>
      <c r="V1126">
        <v>64.4</v>
      </c>
    </row>
    <row r="1127" spans="1:22" ht="15">
      <c r="A1127" s="4">
        <v>1120</v>
      </c>
      <c r="B1127">
        <v>737</v>
      </c>
      <c r="C1127" t="s">
        <v>2598</v>
      </c>
      <c r="D1127" t="s">
        <v>357</v>
      </c>
      <c r="E1127" t="s">
        <v>30</v>
      </c>
      <c r="F1127" t="s">
        <v>2599</v>
      </c>
      <c r="G1127" t="str">
        <f>"00083551"</f>
        <v>00083551</v>
      </c>
      <c r="H1127">
        <v>50.4</v>
      </c>
      <c r="I1127">
        <v>0</v>
      </c>
      <c r="M1127">
        <v>4</v>
      </c>
      <c r="N1127">
        <v>0</v>
      </c>
      <c r="O1127">
        <v>0</v>
      </c>
      <c r="P1127">
        <v>54.4</v>
      </c>
      <c r="Q1127">
        <v>7</v>
      </c>
      <c r="R1127">
        <v>7</v>
      </c>
      <c r="S1127">
        <v>3</v>
      </c>
      <c r="T1127">
        <v>0</v>
      </c>
      <c r="U1127" s="1">
        <v>0</v>
      </c>
      <c r="V1127">
        <v>64.4</v>
      </c>
    </row>
    <row r="1128" spans="1:22" ht="15">
      <c r="A1128" s="4">
        <v>1121</v>
      </c>
      <c r="B1128">
        <v>520</v>
      </c>
      <c r="C1128" t="s">
        <v>2600</v>
      </c>
      <c r="D1128" t="s">
        <v>2601</v>
      </c>
      <c r="E1128" t="s">
        <v>30</v>
      </c>
      <c r="F1128" t="s">
        <v>2602</v>
      </c>
      <c r="G1128" t="str">
        <f>"00530801"</f>
        <v>00530801</v>
      </c>
      <c r="H1128">
        <v>50.4</v>
      </c>
      <c r="I1128">
        <v>10</v>
      </c>
      <c r="M1128">
        <v>4</v>
      </c>
      <c r="N1128">
        <v>0</v>
      </c>
      <c r="O1128">
        <v>0</v>
      </c>
      <c r="P1128">
        <v>64.4</v>
      </c>
      <c r="Q1128">
        <v>0</v>
      </c>
      <c r="R1128">
        <v>0</v>
      </c>
      <c r="S1128">
        <v>0</v>
      </c>
      <c r="T1128">
        <v>0</v>
      </c>
      <c r="U1128" s="1">
        <v>0</v>
      </c>
      <c r="V1128">
        <v>64.4</v>
      </c>
    </row>
    <row r="1129" spans="1:22" ht="15">
      <c r="A1129" s="4">
        <v>1122</v>
      </c>
      <c r="B1129">
        <v>2723</v>
      </c>
      <c r="C1129" t="s">
        <v>2603</v>
      </c>
      <c r="D1129" t="s">
        <v>2604</v>
      </c>
      <c r="E1129" t="s">
        <v>344</v>
      </c>
      <c r="F1129" t="s">
        <v>2605</v>
      </c>
      <c r="G1129" t="str">
        <f>"00529621"</f>
        <v>00529621</v>
      </c>
      <c r="H1129">
        <v>14.4</v>
      </c>
      <c r="I1129">
        <v>0</v>
      </c>
      <c r="L1129">
        <v>4</v>
      </c>
      <c r="M1129">
        <v>4</v>
      </c>
      <c r="N1129">
        <v>4</v>
      </c>
      <c r="O1129">
        <v>0</v>
      </c>
      <c r="P1129">
        <v>22.4</v>
      </c>
      <c r="Q1129">
        <v>42</v>
      </c>
      <c r="R1129">
        <v>42</v>
      </c>
      <c r="S1129">
        <v>0</v>
      </c>
      <c r="T1129">
        <v>0</v>
      </c>
      <c r="U1129" s="1">
        <v>0</v>
      </c>
      <c r="V1129">
        <v>64.4</v>
      </c>
    </row>
    <row r="1130" spans="1:22" ht="15">
      <c r="A1130" s="4">
        <v>1123</v>
      </c>
      <c r="B1130">
        <v>2062</v>
      </c>
      <c r="C1130" t="s">
        <v>2606</v>
      </c>
      <c r="D1130" t="s">
        <v>72</v>
      </c>
      <c r="E1130" t="s">
        <v>73</v>
      </c>
      <c r="F1130" t="s">
        <v>2607</v>
      </c>
      <c r="G1130" t="str">
        <f>"00480862"</f>
        <v>00480862</v>
      </c>
      <c r="H1130">
        <v>50.4</v>
      </c>
      <c r="I1130">
        <v>10</v>
      </c>
      <c r="M1130">
        <v>4</v>
      </c>
      <c r="N1130">
        <v>0</v>
      </c>
      <c r="O1130">
        <v>0</v>
      </c>
      <c r="P1130">
        <v>64.4</v>
      </c>
      <c r="Q1130">
        <v>0</v>
      </c>
      <c r="R1130">
        <v>0</v>
      </c>
      <c r="S1130">
        <v>0</v>
      </c>
      <c r="T1130">
        <v>0</v>
      </c>
      <c r="U1130" s="1">
        <v>0</v>
      </c>
      <c r="V1130">
        <v>64.4</v>
      </c>
    </row>
    <row r="1131" spans="1:22" ht="15">
      <c r="A1131" s="4">
        <v>1124</v>
      </c>
      <c r="B1131">
        <v>2961</v>
      </c>
      <c r="C1131" t="s">
        <v>2608</v>
      </c>
      <c r="D1131" t="s">
        <v>127</v>
      </c>
      <c r="E1131" t="s">
        <v>30</v>
      </c>
      <c r="F1131" t="s">
        <v>2609</v>
      </c>
      <c r="G1131" t="str">
        <f>"00515120"</f>
        <v>00515120</v>
      </c>
      <c r="H1131">
        <v>20.36</v>
      </c>
      <c r="I1131">
        <v>0</v>
      </c>
      <c r="M1131">
        <v>4</v>
      </c>
      <c r="N1131">
        <v>0</v>
      </c>
      <c r="O1131">
        <v>0</v>
      </c>
      <c r="P1131">
        <v>24.36</v>
      </c>
      <c r="Q1131">
        <v>31</v>
      </c>
      <c r="R1131">
        <v>31</v>
      </c>
      <c r="S1131">
        <v>9</v>
      </c>
      <c r="T1131">
        <v>0</v>
      </c>
      <c r="U1131" s="1">
        <v>0</v>
      </c>
      <c r="V1131">
        <v>64.36</v>
      </c>
    </row>
    <row r="1132" spans="1:22" ht="15">
      <c r="A1132" s="4">
        <v>1125</v>
      </c>
      <c r="B1132">
        <v>2168</v>
      </c>
      <c r="C1132" t="s">
        <v>2610</v>
      </c>
      <c r="D1132" t="s">
        <v>2611</v>
      </c>
      <c r="E1132" t="s">
        <v>797</v>
      </c>
      <c r="F1132" t="s">
        <v>2612</v>
      </c>
      <c r="G1132" t="str">
        <f>"00507839"</f>
        <v>00507839</v>
      </c>
      <c r="H1132">
        <v>29.32</v>
      </c>
      <c r="I1132">
        <v>0</v>
      </c>
      <c r="M1132">
        <v>4</v>
      </c>
      <c r="N1132">
        <v>0</v>
      </c>
      <c r="O1132">
        <v>0</v>
      </c>
      <c r="P1132">
        <v>33.32</v>
      </c>
      <c r="Q1132">
        <v>25</v>
      </c>
      <c r="R1132">
        <v>25</v>
      </c>
      <c r="S1132">
        <v>6</v>
      </c>
      <c r="T1132">
        <v>0</v>
      </c>
      <c r="U1132" s="1">
        <v>0</v>
      </c>
      <c r="V1132">
        <v>64.32</v>
      </c>
    </row>
    <row r="1133" spans="1:22" ht="15">
      <c r="A1133" s="4">
        <v>1126</v>
      </c>
      <c r="B1133">
        <v>404</v>
      </c>
      <c r="C1133" t="s">
        <v>2613</v>
      </c>
      <c r="D1133" t="s">
        <v>14</v>
      </c>
      <c r="E1133" t="s">
        <v>514</v>
      </c>
      <c r="F1133" t="s">
        <v>2614</v>
      </c>
      <c r="G1133" t="str">
        <f>"00024683"</f>
        <v>00024683</v>
      </c>
      <c r="H1133">
        <v>25.32</v>
      </c>
      <c r="I1133">
        <v>0</v>
      </c>
      <c r="L1133">
        <v>4</v>
      </c>
      <c r="M1133">
        <v>4</v>
      </c>
      <c r="N1133">
        <v>4</v>
      </c>
      <c r="O1133">
        <v>0</v>
      </c>
      <c r="P1133">
        <v>33.32</v>
      </c>
      <c r="Q1133">
        <v>22</v>
      </c>
      <c r="R1133">
        <v>22</v>
      </c>
      <c r="S1133">
        <v>9</v>
      </c>
      <c r="T1133">
        <v>0</v>
      </c>
      <c r="U1133" s="1">
        <v>0</v>
      </c>
      <c r="V1133">
        <v>64.32</v>
      </c>
    </row>
    <row r="1134" spans="1:22" ht="15">
      <c r="A1134" s="4">
        <v>1127</v>
      </c>
      <c r="B1134">
        <v>1923</v>
      </c>
      <c r="C1134" t="s">
        <v>2615</v>
      </c>
      <c r="D1134" t="s">
        <v>799</v>
      </c>
      <c r="E1134" t="s">
        <v>157</v>
      </c>
      <c r="F1134" t="s">
        <v>2616</v>
      </c>
      <c r="G1134" t="str">
        <f>"00497322"</f>
        <v>00497322</v>
      </c>
      <c r="H1134">
        <v>24.28</v>
      </c>
      <c r="I1134">
        <v>0</v>
      </c>
      <c r="M1134">
        <v>4</v>
      </c>
      <c r="N1134">
        <v>0</v>
      </c>
      <c r="O1134">
        <v>0</v>
      </c>
      <c r="P1134">
        <v>28.28</v>
      </c>
      <c r="Q1134">
        <v>33</v>
      </c>
      <c r="R1134">
        <v>33</v>
      </c>
      <c r="S1134">
        <v>3</v>
      </c>
      <c r="T1134">
        <v>0</v>
      </c>
      <c r="U1134" s="1">
        <v>0</v>
      </c>
      <c r="V1134">
        <v>64.28</v>
      </c>
    </row>
    <row r="1135" spans="1:22" ht="15">
      <c r="A1135" s="4">
        <v>1128</v>
      </c>
      <c r="B1135">
        <v>2906</v>
      </c>
      <c r="C1135" t="s">
        <v>2617</v>
      </c>
      <c r="D1135" t="s">
        <v>2618</v>
      </c>
      <c r="E1135" t="s">
        <v>385</v>
      </c>
      <c r="F1135" t="s">
        <v>2619</v>
      </c>
      <c r="G1135" t="str">
        <f>"00530053"</f>
        <v>00530053</v>
      </c>
      <c r="H1135">
        <v>34.24</v>
      </c>
      <c r="I1135">
        <v>10</v>
      </c>
      <c r="L1135">
        <v>4</v>
      </c>
      <c r="M1135">
        <v>4</v>
      </c>
      <c r="N1135">
        <v>4</v>
      </c>
      <c r="O1135">
        <v>0</v>
      </c>
      <c r="P1135">
        <v>52.24</v>
      </c>
      <c r="Q1135">
        <v>6</v>
      </c>
      <c r="R1135">
        <v>6</v>
      </c>
      <c r="S1135">
        <v>6</v>
      </c>
      <c r="T1135">
        <v>0</v>
      </c>
      <c r="U1135" s="1">
        <v>0</v>
      </c>
      <c r="V1135">
        <v>64.24</v>
      </c>
    </row>
    <row r="1136" spans="1:22" ht="15">
      <c r="A1136" s="4">
        <v>1129</v>
      </c>
      <c r="B1136">
        <v>2137</v>
      </c>
      <c r="C1136" t="s">
        <v>2620</v>
      </c>
      <c r="D1136" t="s">
        <v>14</v>
      </c>
      <c r="E1136" t="s">
        <v>23</v>
      </c>
      <c r="F1136" t="s">
        <v>2621</v>
      </c>
      <c r="G1136" t="str">
        <f>"201512005090"</f>
        <v>201512005090</v>
      </c>
      <c r="H1136">
        <v>43.2</v>
      </c>
      <c r="I1136">
        <v>0</v>
      </c>
      <c r="L1136">
        <v>4</v>
      </c>
      <c r="M1136">
        <v>4</v>
      </c>
      <c r="N1136">
        <v>4</v>
      </c>
      <c r="O1136">
        <v>0</v>
      </c>
      <c r="P1136">
        <v>51.2</v>
      </c>
      <c r="Q1136">
        <v>10</v>
      </c>
      <c r="R1136">
        <v>10</v>
      </c>
      <c r="S1136">
        <v>3</v>
      </c>
      <c r="T1136">
        <v>0</v>
      </c>
      <c r="U1136" s="1" t="s">
        <v>6251</v>
      </c>
      <c r="V1136">
        <v>64.2</v>
      </c>
    </row>
    <row r="1137" spans="1:22" ht="15">
      <c r="A1137" s="4">
        <v>1130</v>
      </c>
      <c r="B1137">
        <v>2347</v>
      </c>
      <c r="C1137" t="s">
        <v>1960</v>
      </c>
      <c r="D1137" t="s">
        <v>1697</v>
      </c>
      <c r="E1137" t="s">
        <v>403</v>
      </c>
      <c r="F1137" t="s">
        <v>2622</v>
      </c>
      <c r="G1137" t="str">
        <f>"200801001973"</f>
        <v>200801001973</v>
      </c>
      <c r="H1137">
        <v>43.2</v>
      </c>
      <c r="I1137">
        <v>10</v>
      </c>
      <c r="L1137">
        <v>4</v>
      </c>
      <c r="M1137">
        <v>4</v>
      </c>
      <c r="N1137">
        <v>4</v>
      </c>
      <c r="O1137">
        <v>0</v>
      </c>
      <c r="P1137">
        <v>61.2</v>
      </c>
      <c r="Q1137">
        <v>0</v>
      </c>
      <c r="R1137">
        <v>0</v>
      </c>
      <c r="S1137">
        <v>3</v>
      </c>
      <c r="T1137">
        <v>0</v>
      </c>
      <c r="U1137" s="1">
        <v>0</v>
      </c>
      <c r="V1137">
        <v>64.2</v>
      </c>
    </row>
    <row r="1138" spans="1:22" ht="15">
      <c r="A1138" s="4">
        <v>1131</v>
      </c>
      <c r="B1138">
        <v>834</v>
      </c>
      <c r="C1138" t="s">
        <v>2623</v>
      </c>
      <c r="D1138" t="s">
        <v>68</v>
      </c>
      <c r="E1138" t="s">
        <v>90</v>
      </c>
      <c r="F1138" t="s">
        <v>2624</v>
      </c>
      <c r="G1138" t="str">
        <f>"00496911"</f>
        <v>00496911</v>
      </c>
      <c r="H1138">
        <v>43.2</v>
      </c>
      <c r="I1138">
        <v>0</v>
      </c>
      <c r="M1138">
        <v>4</v>
      </c>
      <c r="N1138">
        <v>0</v>
      </c>
      <c r="O1138">
        <v>0</v>
      </c>
      <c r="P1138">
        <v>47.2</v>
      </c>
      <c r="Q1138">
        <v>17</v>
      </c>
      <c r="R1138">
        <v>17</v>
      </c>
      <c r="S1138">
        <v>0</v>
      </c>
      <c r="T1138">
        <v>0</v>
      </c>
      <c r="U1138" s="1">
        <v>0</v>
      </c>
      <c r="V1138">
        <v>64.2</v>
      </c>
    </row>
    <row r="1139" spans="1:22" ht="15">
      <c r="A1139" s="4">
        <v>1132</v>
      </c>
      <c r="B1139">
        <v>2392</v>
      </c>
      <c r="C1139" t="s">
        <v>2625</v>
      </c>
      <c r="D1139" t="s">
        <v>280</v>
      </c>
      <c r="E1139" t="s">
        <v>30</v>
      </c>
      <c r="F1139" t="s">
        <v>2626</v>
      </c>
      <c r="G1139" t="str">
        <f>"00161246"</f>
        <v>00161246</v>
      </c>
      <c r="H1139">
        <v>7.2</v>
      </c>
      <c r="I1139">
        <v>10</v>
      </c>
      <c r="M1139">
        <v>4</v>
      </c>
      <c r="N1139">
        <v>0</v>
      </c>
      <c r="O1139">
        <v>0</v>
      </c>
      <c r="P1139">
        <v>21.2</v>
      </c>
      <c r="Q1139">
        <v>43</v>
      </c>
      <c r="R1139">
        <v>43</v>
      </c>
      <c r="S1139">
        <v>0</v>
      </c>
      <c r="T1139">
        <v>0</v>
      </c>
      <c r="U1139" s="1">
        <v>0</v>
      </c>
      <c r="V1139">
        <v>64.2</v>
      </c>
    </row>
    <row r="1140" spans="1:22" ht="15">
      <c r="A1140" s="4">
        <v>1133</v>
      </c>
      <c r="B1140">
        <v>1330</v>
      </c>
      <c r="C1140" t="s">
        <v>2627</v>
      </c>
      <c r="D1140" t="s">
        <v>2628</v>
      </c>
      <c r="E1140" t="s">
        <v>11</v>
      </c>
      <c r="F1140" t="s">
        <v>2629</v>
      </c>
      <c r="G1140" t="str">
        <f>"200712006012"</f>
        <v>200712006012</v>
      </c>
      <c r="H1140">
        <v>43.2</v>
      </c>
      <c r="I1140">
        <v>10</v>
      </c>
      <c r="L1140">
        <v>4</v>
      </c>
      <c r="M1140">
        <v>4</v>
      </c>
      <c r="N1140">
        <v>4</v>
      </c>
      <c r="O1140">
        <v>0</v>
      </c>
      <c r="P1140">
        <v>61.2</v>
      </c>
      <c r="Q1140">
        <v>0</v>
      </c>
      <c r="R1140">
        <v>0</v>
      </c>
      <c r="S1140">
        <v>3</v>
      </c>
      <c r="T1140">
        <v>0</v>
      </c>
      <c r="U1140" s="1">
        <v>0</v>
      </c>
      <c r="V1140">
        <v>64.2</v>
      </c>
    </row>
    <row r="1141" spans="1:22" ht="15">
      <c r="A1141" s="4">
        <v>1134</v>
      </c>
      <c r="B1141">
        <v>1256</v>
      </c>
      <c r="C1141" t="s">
        <v>2630</v>
      </c>
      <c r="D1141" t="s">
        <v>273</v>
      </c>
      <c r="E1141" t="s">
        <v>69</v>
      </c>
      <c r="F1141" t="s">
        <v>2631</v>
      </c>
      <c r="G1141" t="str">
        <f>"00525792"</f>
        <v>00525792</v>
      </c>
      <c r="H1141">
        <v>21.2</v>
      </c>
      <c r="I1141">
        <v>0</v>
      </c>
      <c r="M1141">
        <v>0</v>
      </c>
      <c r="N1141">
        <v>0</v>
      </c>
      <c r="O1141">
        <v>0</v>
      </c>
      <c r="P1141">
        <v>21.2</v>
      </c>
      <c r="Q1141">
        <v>40</v>
      </c>
      <c r="R1141">
        <v>40</v>
      </c>
      <c r="S1141">
        <v>3</v>
      </c>
      <c r="T1141">
        <v>0</v>
      </c>
      <c r="U1141" s="1">
        <v>0</v>
      </c>
      <c r="V1141">
        <v>64.2</v>
      </c>
    </row>
    <row r="1142" spans="1:22" ht="15">
      <c r="A1142" s="4">
        <v>1135</v>
      </c>
      <c r="B1142">
        <v>2675</v>
      </c>
      <c r="C1142" t="s">
        <v>2632</v>
      </c>
      <c r="D1142" t="s">
        <v>127</v>
      </c>
      <c r="E1142" t="s">
        <v>157</v>
      </c>
      <c r="F1142" t="s">
        <v>2633</v>
      </c>
      <c r="G1142" t="str">
        <f>"00485724"</f>
        <v>00485724</v>
      </c>
      <c r="H1142">
        <v>36</v>
      </c>
      <c r="I1142">
        <v>0</v>
      </c>
      <c r="M1142">
        <v>4</v>
      </c>
      <c r="N1142">
        <v>0</v>
      </c>
      <c r="O1142">
        <v>0</v>
      </c>
      <c r="P1142">
        <v>40</v>
      </c>
      <c r="Q1142">
        <v>24</v>
      </c>
      <c r="R1142">
        <v>24</v>
      </c>
      <c r="S1142">
        <v>0</v>
      </c>
      <c r="T1142">
        <v>0</v>
      </c>
      <c r="U1142" s="1">
        <v>0</v>
      </c>
      <c r="V1142">
        <v>64</v>
      </c>
    </row>
    <row r="1143" spans="1:22" ht="15">
      <c r="A1143" s="4">
        <v>1136</v>
      </c>
      <c r="B1143">
        <v>3394</v>
      </c>
      <c r="C1143" t="s">
        <v>13</v>
      </c>
      <c r="D1143" t="s">
        <v>273</v>
      </c>
      <c r="E1143" t="s">
        <v>83</v>
      </c>
      <c r="F1143" t="s">
        <v>2634</v>
      </c>
      <c r="G1143" t="str">
        <f>"00527275"</f>
        <v>00527275</v>
      </c>
      <c r="H1143">
        <v>32</v>
      </c>
      <c r="I1143">
        <v>0</v>
      </c>
      <c r="M1143">
        <v>0</v>
      </c>
      <c r="N1143">
        <v>0</v>
      </c>
      <c r="O1143">
        <v>0</v>
      </c>
      <c r="P1143">
        <v>32</v>
      </c>
      <c r="Q1143">
        <v>26</v>
      </c>
      <c r="R1143">
        <v>26</v>
      </c>
      <c r="S1143">
        <v>6</v>
      </c>
      <c r="T1143">
        <v>0</v>
      </c>
      <c r="U1143" s="1">
        <v>0</v>
      </c>
      <c r="V1143">
        <v>64</v>
      </c>
    </row>
    <row r="1144" spans="1:22" ht="15">
      <c r="A1144" s="4">
        <v>1137</v>
      </c>
      <c r="B1144">
        <v>875</v>
      </c>
      <c r="C1144" t="s">
        <v>2635</v>
      </c>
      <c r="D1144" t="s">
        <v>76</v>
      </c>
      <c r="E1144" t="s">
        <v>447</v>
      </c>
      <c r="F1144" t="s">
        <v>2636</v>
      </c>
      <c r="G1144" t="str">
        <f>"00513829"</f>
        <v>00513829</v>
      </c>
      <c r="H1144">
        <v>24.84</v>
      </c>
      <c r="I1144">
        <v>0</v>
      </c>
      <c r="M1144">
        <v>0</v>
      </c>
      <c r="N1144">
        <v>0</v>
      </c>
      <c r="O1144">
        <v>0</v>
      </c>
      <c r="P1144">
        <v>24.84</v>
      </c>
      <c r="Q1144">
        <v>39</v>
      </c>
      <c r="R1144">
        <v>39</v>
      </c>
      <c r="S1144">
        <v>0</v>
      </c>
      <c r="T1144">
        <v>0</v>
      </c>
      <c r="U1144" s="1">
        <v>0</v>
      </c>
      <c r="V1144">
        <v>63.84</v>
      </c>
    </row>
    <row r="1145" spans="1:22" ht="15">
      <c r="A1145" s="4">
        <v>1138</v>
      </c>
      <c r="B1145">
        <v>471</v>
      </c>
      <c r="C1145" t="s">
        <v>2637</v>
      </c>
      <c r="D1145" t="s">
        <v>189</v>
      </c>
      <c r="E1145" t="s">
        <v>358</v>
      </c>
      <c r="F1145" t="s">
        <v>2638</v>
      </c>
      <c r="G1145" t="str">
        <f>"00044692"</f>
        <v>00044692</v>
      </c>
      <c r="H1145">
        <v>38.8</v>
      </c>
      <c r="I1145">
        <v>0</v>
      </c>
      <c r="L1145">
        <v>4</v>
      </c>
      <c r="M1145">
        <v>4</v>
      </c>
      <c r="N1145">
        <v>4</v>
      </c>
      <c r="O1145">
        <v>0</v>
      </c>
      <c r="P1145">
        <v>46.8</v>
      </c>
      <c r="Q1145">
        <v>8</v>
      </c>
      <c r="R1145">
        <v>8</v>
      </c>
      <c r="S1145">
        <v>9</v>
      </c>
      <c r="T1145">
        <v>0</v>
      </c>
      <c r="U1145" s="1">
        <v>0</v>
      </c>
      <c r="V1145">
        <v>63.8</v>
      </c>
    </row>
    <row r="1146" spans="1:22" ht="15">
      <c r="A1146" s="4">
        <v>1139</v>
      </c>
      <c r="B1146">
        <v>2627</v>
      </c>
      <c r="C1146" t="s">
        <v>2639</v>
      </c>
      <c r="D1146" t="s">
        <v>14</v>
      </c>
      <c r="E1146" t="s">
        <v>11</v>
      </c>
      <c r="F1146" t="s">
        <v>2640</v>
      </c>
      <c r="G1146" t="str">
        <f>"00163602"</f>
        <v>00163602</v>
      </c>
      <c r="H1146">
        <v>28.8</v>
      </c>
      <c r="I1146">
        <v>0</v>
      </c>
      <c r="J1146">
        <v>8</v>
      </c>
      <c r="M1146">
        <v>4</v>
      </c>
      <c r="N1146">
        <v>8</v>
      </c>
      <c r="O1146">
        <v>2</v>
      </c>
      <c r="P1146">
        <v>42.8</v>
      </c>
      <c r="Q1146">
        <v>18</v>
      </c>
      <c r="R1146">
        <v>18</v>
      </c>
      <c r="S1146">
        <v>3</v>
      </c>
      <c r="T1146">
        <v>0</v>
      </c>
      <c r="U1146" s="1">
        <v>0</v>
      </c>
      <c r="V1146">
        <v>63.8</v>
      </c>
    </row>
    <row r="1147" spans="1:22" ht="15">
      <c r="A1147" s="4">
        <v>1140</v>
      </c>
      <c r="B1147">
        <v>2113</v>
      </c>
      <c r="C1147" t="s">
        <v>2641</v>
      </c>
      <c r="D1147" t="s">
        <v>490</v>
      </c>
      <c r="E1147" t="s">
        <v>23</v>
      </c>
      <c r="F1147" t="s">
        <v>2642</v>
      </c>
      <c r="G1147" t="str">
        <f>"00508426"</f>
        <v>00508426</v>
      </c>
      <c r="H1147">
        <v>28.8</v>
      </c>
      <c r="I1147">
        <v>0</v>
      </c>
      <c r="L1147">
        <v>4</v>
      </c>
      <c r="M1147">
        <v>4</v>
      </c>
      <c r="N1147">
        <v>4</v>
      </c>
      <c r="O1147">
        <v>2</v>
      </c>
      <c r="P1147">
        <v>38.8</v>
      </c>
      <c r="Q1147">
        <v>25</v>
      </c>
      <c r="R1147">
        <v>25</v>
      </c>
      <c r="S1147">
        <v>0</v>
      </c>
      <c r="T1147">
        <v>0</v>
      </c>
      <c r="U1147" s="1">
        <v>0</v>
      </c>
      <c r="V1147">
        <v>63.8</v>
      </c>
    </row>
    <row r="1148" spans="1:22" ht="15">
      <c r="A1148" s="4">
        <v>1141</v>
      </c>
      <c r="B1148">
        <v>769</v>
      </c>
      <c r="C1148" t="s">
        <v>2643</v>
      </c>
      <c r="D1148" t="s">
        <v>580</v>
      </c>
      <c r="E1148" t="s">
        <v>295</v>
      </c>
      <c r="F1148" t="s">
        <v>2644</v>
      </c>
      <c r="G1148" t="str">
        <f>"00521522"</f>
        <v>00521522</v>
      </c>
      <c r="H1148">
        <v>31.64</v>
      </c>
      <c r="I1148">
        <v>0</v>
      </c>
      <c r="M1148">
        <v>0</v>
      </c>
      <c r="N1148">
        <v>0</v>
      </c>
      <c r="O1148">
        <v>0</v>
      </c>
      <c r="P1148">
        <v>31.64</v>
      </c>
      <c r="Q1148">
        <v>32</v>
      </c>
      <c r="R1148">
        <v>32</v>
      </c>
      <c r="S1148">
        <v>0</v>
      </c>
      <c r="T1148">
        <v>0</v>
      </c>
      <c r="U1148" s="1">
        <v>0</v>
      </c>
      <c r="V1148">
        <v>63.64</v>
      </c>
    </row>
    <row r="1149" spans="1:22" ht="15">
      <c r="A1149" s="4">
        <v>1142</v>
      </c>
      <c r="B1149">
        <v>2092</v>
      </c>
      <c r="C1149" t="s">
        <v>2645</v>
      </c>
      <c r="D1149" t="s">
        <v>137</v>
      </c>
      <c r="E1149" t="s">
        <v>19</v>
      </c>
      <c r="F1149" t="s">
        <v>2646</v>
      </c>
      <c r="G1149" t="str">
        <f>"201406008910"</f>
        <v>201406008910</v>
      </c>
      <c r="H1149">
        <v>39.6</v>
      </c>
      <c r="I1149">
        <v>10</v>
      </c>
      <c r="L1149">
        <v>4</v>
      </c>
      <c r="M1149">
        <v>4</v>
      </c>
      <c r="N1149">
        <v>4</v>
      </c>
      <c r="O1149">
        <v>0</v>
      </c>
      <c r="P1149">
        <v>57.6</v>
      </c>
      <c r="Q1149">
        <v>0</v>
      </c>
      <c r="R1149">
        <v>0</v>
      </c>
      <c r="S1149">
        <v>6</v>
      </c>
      <c r="T1149">
        <v>0</v>
      </c>
      <c r="U1149" s="1">
        <v>0</v>
      </c>
      <c r="V1149">
        <v>63.6</v>
      </c>
    </row>
    <row r="1150" spans="1:22" ht="15">
      <c r="A1150" s="4">
        <v>1143</v>
      </c>
      <c r="B1150">
        <v>1692</v>
      </c>
      <c r="C1150" t="s">
        <v>2647</v>
      </c>
      <c r="D1150" t="s">
        <v>76</v>
      </c>
      <c r="E1150" t="s">
        <v>59</v>
      </c>
      <c r="F1150" t="s">
        <v>2648</v>
      </c>
      <c r="G1150" t="str">
        <f>"00223283"</f>
        <v>00223283</v>
      </c>
      <c r="H1150">
        <v>29.44</v>
      </c>
      <c r="I1150">
        <v>0</v>
      </c>
      <c r="M1150">
        <v>4</v>
      </c>
      <c r="N1150">
        <v>0</v>
      </c>
      <c r="O1150">
        <v>0</v>
      </c>
      <c r="P1150">
        <v>33.44</v>
      </c>
      <c r="Q1150">
        <v>30</v>
      </c>
      <c r="R1150">
        <v>30</v>
      </c>
      <c r="S1150">
        <v>0</v>
      </c>
      <c r="T1150">
        <v>0</v>
      </c>
      <c r="U1150" s="1">
        <v>0</v>
      </c>
      <c r="V1150">
        <v>63.44</v>
      </c>
    </row>
    <row r="1151" spans="1:22" ht="15">
      <c r="A1151" s="4">
        <v>1144</v>
      </c>
      <c r="B1151">
        <v>1200</v>
      </c>
      <c r="C1151" t="s">
        <v>2649</v>
      </c>
      <c r="D1151" t="s">
        <v>2650</v>
      </c>
      <c r="E1151" t="s">
        <v>30</v>
      </c>
      <c r="F1151" t="s">
        <v>2651</v>
      </c>
      <c r="G1151" t="str">
        <f>"00529989"</f>
        <v>00529989</v>
      </c>
      <c r="H1151">
        <v>37.44</v>
      </c>
      <c r="I1151">
        <v>0</v>
      </c>
      <c r="M1151">
        <v>0</v>
      </c>
      <c r="N1151">
        <v>0</v>
      </c>
      <c r="O1151">
        <v>0</v>
      </c>
      <c r="P1151">
        <v>37.44</v>
      </c>
      <c r="Q1151">
        <v>26</v>
      </c>
      <c r="R1151">
        <v>26</v>
      </c>
      <c r="S1151">
        <v>0</v>
      </c>
      <c r="T1151">
        <v>0</v>
      </c>
      <c r="U1151" s="1">
        <v>0</v>
      </c>
      <c r="V1151">
        <v>63.44</v>
      </c>
    </row>
    <row r="1152" spans="1:22" ht="15">
      <c r="A1152" s="4">
        <v>1145</v>
      </c>
      <c r="B1152">
        <v>1162</v>
      </c>
      <c r="C1152" t="s">
        <v>2652</v>
      </c>
      <c r="D1152" t="s">
        <v>2456</v>
      </c>
      <c r="E1152" t="s">
        <v>2653</v>
      </c>
      <c r="F1152" t="s">
        <v>2654</v>
      </c>
      <c r="G1152" t="str">
        <f>"00441668"</f>
        <v>00441668</v>
      </c>
      <c r="H1152">
        <v>14.4</v>
      </c>
      <c r="I1152">
        <v>0</v>
      </c>
      <c r="M1152">
        <v>0</v>
      </c>
      <c r="N1152">
        <v>0</v>
      </c>
      <c r="O1152">
        <v>0</v>
      </c>
      <c r="P1152">
        <v>14.4</v>
      </c>
      <c r="Q1152">
        <v>49</v>
      </c>
      <c r="R1152">
        <v>49</v>
      </c>
      <c r="S1152">
        <v>0</v>
      </c>
      <c r="T1152">
        <v>0</v>
      </c>
      <c r="U1152" s="1">
        <v>0</v>
      </c>
      <c r="V1152">
        <v>63.4</v>
      </c>
    </row>
    <row r="1153" spans="1:22" ht="15">
      <c r="A1153" s="4">
        <v>1146</v>
      </c>
      <c r="B1153">
        <v>1842</v>
      </c>
      <c r="C1153" t="s">
        <v>2655</v>
      </c>
      <c r="D1153" t="s">
        <v>76</v>
      </c>
      <c r="E1153" t="s">
        <v>225</v>
      </c>
      <c r="F1153" t="s">
        <v>2656</v>
      </c>
      <c r="G1153" t="str">
        <f>"00149046"</f>
        <v>00149046</v>
      </c>
      <c r="H1153">
        <v>14.4</v>
      </c>
      <c r="I1153">
        <v>0</v>
      </c>
      <c r="M1153">
        <v>4</v>
      </c>
      <c r="N1153">
        <v>0</v>
      </c>
      <c r="O1153">
        <v>0</v>
      </c>
      <c r="P1153">
        <v>18.4</v>
      </c>
      <c r="Q1153">
        <v>45</v>
      </c>
      <c r="R1153">
        <v>45</v>
      </c>
      <c r="S1153">
        <v>0</v>
      </c>
      <c r="T1153">
        <v>0</v>
      </c>
      <c r="U1153" s="1">
        <v>0</v>
      </c>
      <c r="V1153">
        <v>63.4</v>
      </c>
    </row>
    <row r="1154" spans="1:22" ht="15">
      <c r="A1154" s="4">
        <v>1147</v>
      </c>
      <c r="B1154">
        <v>2850</v>
      </c>
      <c r="C1154" t="s">
        <v>2657</v>
      </c>
      <c r="D1154" t="s">
        <v>580</v>
      </c>
      <c r="E1154" t="s">
        <v>738</v>
      </c>
      <c r="F1154" t="s">
        <v>2658</v>
      </c>
      <c r="G1154" t="str">
        <f>"00161585"</f>
        <v>00161585</v>
      </c>
      <c r="H1154">
        <v>14.4</v>
      </c>
      <c r="I1154">
        <v>0</v>
      </c>
      <c r="M1154">
        <v>4</v>
      </c>
      <c r="N1154">
        <v>0</v>
      </c>
      <c r="O1154">
        <v>0</v>
      </c>
      <c r="P1154">
        <v>18.4</v>
      </c>
      <c r="Q1154">
        <v>39</v>
      </c>
      <c r="R1154">
        <v>39</v>
      </c>
      <c r="S1154">
        <v>6</v>
      </c>
      <c r="T1154">
        <v>0</v>
      </c>
      <c r="U1154" s="1">
        <v>0</v>
      </c>
      <c r="V1154">
        <v>63.4</v>
      </c>
    </row>
    <row r="1155" spans="1:22" ht="15">
      <c r="A1155" s="4">
        <v>1148</v>
      </c>
      <c r="B1155">
        <v>992</v>
      </c>
      <c r="C1155" t="s">
        <v>2300</v>
      </c>
      <c r="D1155" t="s">
        <v>121</v>
      </c>
      <c r="E1155" t="s">
        <v>514</v>
      </c>
      <c r="F1155" t="s">
        <v>2659</v>
      </c>
      <c r="G1155" t="str">
        <f>"00466800"</f>
        <v>00466800</v>
      </c>
      <c r="H1155">
        <v>50.4</v>
      </c>
      <c r="I1155">
        <v>0</v>
      </c>
      <c r="L1155">
        <v>4</v>
      </c>
      <c r="M1155">
        <v>4</v>
      </c>
      <c r="N1155">
        <v>4</v>
      </c>
      <c r="O1155">
        <v>2</v>
      </c>
      <c r="P1155">
        <v>60.4</v>
      </c>
      <c r="Q1155">
        <v>0</v>
      </c>
      <c r="R1155">
        <v>0</v>
      </c>
      <c r="S1155">
        <v>3</v>
      </c>
      <c r="T1155">
        <v>0</v>
      </c>
      <c r="U1155" s="1">
        <v>0</v>
      </c>
      <c r="V1155">
        <v>63.4</v>
      </c>
    </row>
    <row r="1156" spans="1:22" ht="15">
      <c r="A1156" s="4">
        <v>1149</v>
      </c>
      <c r="B1156">
        <v>2763</v>
      </c>
      <c r="C1156" t="s">
        <v>2660</v>
      </c>
      <c r="D1156" t="s">
        <v>76</v>
      </c>
      <c r="E1156" t="s">
        <v>2661</v>
      </c>
      <c r="F1156" t="s">
        <v>2662</v>
      </c>
      <c r="G1156" t="str">
        <f>"00531635"</f>
        <v>00531635</v>
      </c>
      <c r="H1156">
        <v>24.4</v>
      </c>
      <c r="I1156">
        <v>0</v>
      </c>
      <c r="M1156">
        <v>4</v>
      </c>
      <c r="N1156">
        <v>0</v>
      </c>
      <c r="O1156">
        <v>0</v>
      </c>
      <c r="P1156">
        <v>28.4</v>
      </c>
      <c r="Q1156">
        <v>26</v>
      </c>
      <c r="R1156">
        <v>26</v>
      </c>
      <c r="S1156">
        <v>9</v>
      </c>
      <c r="T1156">
        <v>0</v>
      </c>
      <c r="U1156" s="1">
        <v>0</v>
      </c>
      <c r="V1156">
        <v>63.4</v>
      </c>
    </row>
    <row r="1157" spans="1:22" ht="15">
      <c r="A1157" s="4">
        <v>1150</v>
      </c>
      <c r="B1157">
        <v>2374</v>
      </c>
      <c r="C1157" t="s">
        <v>1835</v>
      </c>
      <c r="D1157" t="s">
        <v>2663</v>
      </c>
      <c r="E1157" t="s">
        <v>19</v>
      </c>
      <c r="F1157" t="s">
        <v>2664</v>
      </c>
      <c r="G1157" t="str">
        <f>"00449963"</f>
        <v>00449963</v>
      </c>
      <c r="H1157">
        <v>28.36</v>
      </c>
      <c r="I1157">
        <v>0</v>
      </c>
      <c r="M1157">
        <v>4</v>
      </c>
      <c r="N1157">
        <v>0</v>
      </c>
      <c r="O1157">
        <v>0</v>
      </c>
      <c r="P1157">
        <v>32.36</v>
      </c>
      <c r="Q1157">
        <v>28</v>
      </c>
      <c r="R1157">
        <v>28</v>
      </c>
      <c r="S1157">
        <v>3</v>
      </c>
      <c r="T1157">
        <v>0</v>
      </c>
      <c r="U1157" s="1">
        <v>0</v>
      </c>
      <c r="V1157">
        <v>63.36</v>
      </c>
    </row>
    <row r="1158" spans="1:22" ht="15">
      <c r="A1158" s="4">
        <v>1151</v>
      </c>
      <c r="B1158">
        <v>863</v>
      </c>
      <c r="C1158" t="s">
        <v>2665</v>
      </c>
      <c r="D1158" t="s">
        <v>127</v>
      </c>
      <c r="E1158" t="s">
        <v>447</v>
      </c>
      <c r="F1158" t="s">
        <v>2666</v>
      </c>
      <c r="G1158" t="str">
        <f>"00503368"</f>
        <v>00503368</v>
      </c>
      <c r="H1158">
        <v>28.36</v>
      </c>
      <c r="I1158">
        <v>0</v>
      </c>
      <c r="M1158">
        <v>0</v>
      </c>
      <c r="N1158">
        <v>0</v>
      </c>
      <c r="O1158">
        <v>0</v>
      </c>
      <c r="P1158">
        <v>28.36</v>
      </c>
      <c r="Q1158">
        <v>32</v>
      </c>
      <c r="R1158">
        <v>32</v>
      </c>
      <c r="S1158">
        <v>3</v>
      </c>
      <c r="T1158">
        <v>0</v>
      </c>
      <c r="U1158" s="1">
        <v>0</v>
      </c>
      <c r="V1158">
        <v>63.36</v>
      </c>
    </row>
    <row r="1159" spans="1:22" ht="15">
      <c r="A1159" s="4">
        <v>1152</v>
      </c>
      <c r="B1159">
        <v>666</v>
      </c>
      <c r="C1159" t="s">
        <v>1960</v>
      </c>
      <c r="D1159" t="s">
        <v>26</v>
      </c>
      <c r="E1159" t="s">
        <v>51</v>
      </c>
      <c r="F1159" t="s">
        <v>2667</v>
      </c>
      <c r="G1159" t="str">
        <f>"00514022"</f>
        <v>00514022</v>
      </c>
      <c r="H1159">
        <v>29.32</v>
      </c>
      <c r="I1159">
        <v>0</v>
      </c>
      <c r="M1159">
        <v>4</v>
      </c>
      <c r="N1159">
        <v>0</v>
      </c>
      <c r="O1159">
        <v>2</v>
      </c>
      <c r="P1159">
        <v>35.32</v>
      </c>
      <c r="Q1159">
        <v>22</v>
      </c>
      <c r="R1159">
        <v>22</v>
      </c>
      <c r="S1159">
        <v>6</v>
      </c>
      <c r="T1159">
        <v>0</v>
      </c>
      <c r="U1159" s="1">
        <v>0</v>
      </c>
      <c r="V1159">
        <v>63.32</v>
      </c>
    </row>
    <row r="1160" spans="1:22" ht="15">
      <c r="A1160" s="4">
        <v>1153</v>
      </c>
      <c r="B1160">
        <v>1779</v>
      </c>
      <c r="C1160" t="s">
        <v>2668</v>
      </c>
      <c r="D1160" t="s">
        <v>160</v>
      </c>
      <c r="E1160" t="s">
        <v>15</v>
      </c>
      <c r="F1160" t="s">
        <v>2669</v>
      </c>
      <c r="G1160" t="str">
        <f>"00483754"</f>
        <v>00483754</v>
      </c>
      <c r="H1160">
        <v>7.2</v>
      </c>
      <c r="I1160">
        <v>0</v>
      </c>
      <c r="M1160">
        <v>4</v>
      </c>
      <c r="N1160">
        <v>0</v>
      </c>
      <c r="O1160">
        <v>0</v>
      </c>
      <c r="P1160">
        <v>11.2</v>
      </c>
      <c r="Q1160">
        <v>52</v>
      </c>
      <c r="R1160">
        <v>52</v>
      </c>
      <c r="S1160">
        <v>0</v>
      </c>
      <c r="T1160">
        <v>0</v>
      </c>
      <c r="U1160" s="1">
        <v>0</v>
      </c>
      <c r="V1160">
        <v>63.2</v>
      </c>
    </row>
    <row r="1161" spans="1:22" ht="15">
      <c r="A1161" s="4">
        <v>1154</v>
      </c>
      <c r="B1161">
        <v>3219</v>
      </c>
      <c r="C1161" t="s">
        <v>2670</v>
      </c>
      <c r="D1161" t="s">
        <v>580</v>
      </c>
      <c r="E1161" t="s">
        <v>59</v>
      </c>
      <c r="F1161" t="s">
        <v>2671</v>
      </c>
      <c r="G1161" t="str">
        <f>"200811001212"</f>
        <v>200811001212</v>
      </c>
      <c r="H1161">
        <v>43.2</v>
      </c>
      <c r="I1161">
        <v>10</v>
      </c>
      <c r="M1161">
        <v>4</v>
      </c>
      <c r="N1161">
        <v>0</v>
      </c>
      <c r="O1161">
        <v>0</v>
      </c>
      <c r="P1161">
        <v>57.2</v>
      </c>
      <c r="Q1161">
        <v>0</v>
      </c>
      <c r="R1161">
        <v>0</v>
      </c>
      <c r="S1161">
        <v>6</v>
      </c>
      <c r="T1161">
        <v>0</v>
      </c>
      <c r="U1161" s="1">
        <v>0</v>
      </c>
      <c r="V1161">
        <v>63.2</v>
      </c>
    </row>
    <row r="1162" spans="1:22" ht="15">
      <c r="A1162" s="4">
        <v>1155</v>
      </c>
      <c r="B1162">
        <v>903</v>
      </c>
      <c r="C1162" t="s">
        <v>2672</v>
      </c>
      <c r="D1162" t="s">
        <v>1199</v>
      </c>
      <c r="E1162" t="s">
        <v>2673</v>
      </c>
      <c r="F1162" t="s">
        <v>2674</v>
      </c>
      <c r="G1162" t="str">
        <f>"00508044"</f>
        <v>00508044</v>
      </c>
      <c r="H1162">
        <v>43.2</v>
      </c>
      <c r="I1162">
        <v>0</v>
      </c>
      <c r="K1162">
        <v>6</v>
      </c>
      <c r="M1162">
        <v>4</v>
      </c>
      <c r="N1162">
        <v>6</v>
      </c>
      <c r="O1162">
        <v>2</v>
      </c>
      <c r="P1162">
        <v>55.2</v>
      </c>
      <c r="Q1162">
        <v>8</v>
      </c>
      <c r="R1162">
        <v>8</v>
      </c>
      <c r="S1162">
        <v>0</v>
      </c>
      <c r="T1162">
        <v>0</v>
      </c>
      <c r="U1162" s="1">
        <v>0</v>
      </c>
      <c r="V1162">
        <v>63.2</v>
      </c>
    </row>
    <row r="1163" spans="1:22" ht="15">
      <c r="A1163" s="4">
        <v>1156</v>
      </c>
      <c r="B1163">
        <v>1047</v>
      </c>
      <c r="C1163" t="s">
        <v>2675</v>
      </c>
      <c r="D1163" t="s">
        <v>2676</v>
      </c>
      <c r="E1163" t="s">
        <v>2677</v>
      </c>
      <c r="F1163" t="s">
        <v>2678</v>
      </c>
      <c r="G1163" t="str">
        <f>"00440469"</f>
        <v>00440469</v>
      </c>
      <c r="H1163">
        <v>43.2</v>
      </c>
      <c r="I1163">
        <v>10</v>
      </c>
      <c r="K1163">
        <v>6</v>
      </c>
      <c r="M1163">
        <v>4</v>
      </c>
      <c r="N1163">
        <v>6</v>
      </c>
      <c r="O1163">
        <v>0</v>
      </c>
      <c r="P1163">
        <v>63.2</v>
      </c>
      <c r="Q1163">
        <v>0</v>
      </c>
      <c r="R1163">
        <v>0</v>
      </c>
      <c r="S1163">
        <v>0</v>
      </c>
      <c r="T1163">
        <v>0</v>
      </c>
      <c r="U1163" s="1">
        <v>0</v>
      </c>
      <c r="V1163">
        <v>63.2</v>
      </c>
    </row>
    <row r="1164" spans="1:22" ht="15">
      <c r="A1164" s="4">
        <v>1157</v>
      </c>
      <c r="B1164">
        <v>1625</v>
      </c>
      <c r="C1164" t="s">
        <v>2679</v>
      </c>
      <c r="D1164" t="s">
        <v>89</v>
      </c>
      <c r="E1164" t="s">
        <v>157</v>
      </c>
      <c r="F1164" t="s">
        <v>2680</v>
      </c>
      <c r="G1164" t="str">
        <f>"00272287"</f>
        <v>00272287</v>
      </c>
      <c r="H1164">
        <v>43.2</v>
      </c>
      <c r="I1164">
        <v>10</v>
      </c>
      <c r="M1164">
        <v>4</v>
      </c>
      <c r="N1164">
        <v>0</v>
      </c>
      <c r="O1164">
        <v>0</v>
      </c>
      <c r="P1164">
        <v>57.2</v>
      </c>
      <c r="Q1164">
        <v>0</v>
      </c>
      <c r="R1164">
        <v>0</v>
      </c>
      <c r="S1164">
        <v>6</v>
      </c>
      <c r="T1164">
        <v>0</v>
      </c>
      <c r="U1164" s="1">
        <v>0</v>
      </c>
      <c r="V1164">
        <v>63.2</v>
      </c>
    </row>
    <row r="1165" spans="1:22" ht="15">
      <c r="A1165" s="4">
        <v>1158</v>
      </c>
      <c r="B1165">
        <v>705</v>
      </c>
      <c r="C1165" t="s">
        <v>2681</v>
      </c>
      <c r="D1165" t="s">
        <v>76</v>
      </c>
      <c r="E1165" t="s">
        <v>15</v>
      </c>
      <c r="F1165" t="s">
        <v>2682</v>
      </c>
      <c r="G1165" t="str">
        <f>"00441890"</f>
        <v>00441890</v>
      </c>
      <c r="H1165">
        <v>33.08</v>
      </c>
      <c r="I1165">
        <v>0</v>
      </c>
      <c r="M1165">
        <v>4</v>
      </c>
      <c r="N1165">
        <v>0</v>
      </c>
      <c r="O1165">
        <v>0</v>
      </c>
      <c r="P1165">
        <v>37.08</v>
      </c>
      <c r="Q1165">
        <v>26</v>
      </c>
      <c r="R1165">
        <v>26</v>
      </c>
      <c r="S1165">
        <v>0</v>
      </c>
      <c r="T1165">
        <v>0</v>
      </c>
      <c r="U1165" s="1">
        <v>0</v>
      </c>
      <c r="V1165">
        <v>63.08</v>
      </c>
    </row>
    <row r="1166" spans="1:22" ht="15">
      <c r="A1166" s="4">
        <v>1159</v>
      </c>
      <c r="B1166">
        <v>3279</v>
      </c>
      <c r="C1166" t="s">
        <v>2683</v>
      </c>
      <c r="D1166" t="s">
        <v>697</v>
      </c>
      <c r="E1166" t="s">
        <v>11</v>
      </c>
      <c r="F1166" t="s">
        <v>2684</v>
      </c>
      <c r="G1166" t="str">
        <f>"00501344"</f>
        <v>00501344</v>
      </c>
      <c r="H1166">
        <v>36</v>
      </c>
      <c r="I1166">
        <v>0</v>
      </c>
      <c r="L1166">
        <v>4</v>
      </c>
      <c r="M1166">
        <v>4</v>
      </c>
      <c r="N1166">
        <v>4</v>
      </c>
      <c r="O1166">
        <v>2</v>
      </c>
      <c r="P1166">
        <v>46</v>
      </c>
      <c r="Q1166">
        <v>17</v>
      </c>
      <c r="R1166">
        <v>17</v>
      </c>
      <c r="S1166">
        <v>0</v>
      </c>
      <c r="T1166">
        <v>0</v>
      </c>
      <c r="U1166" s="1">
        <v>0</v>
      </c>
      <c r="V1166">
        <v>63</v>
      </c>
    </row>
    <row r="1167" spans="1:22" ht="15">
      <c r="A1167" s="4">
        <v>1160</v>
      </c>
      <c r="B1167">
        <v>1775</v>
      </c>
      <c r="C1167" t="s">
        <v>2685</v>
      </c>
      <c r="D1167" t="s">
        <v>68</v>
      </c>
      <c r="E1167" t="s">
        <v>99</v>
      </c>
      <c r="F1167" t="s">
        <v>2686</v>
      </c>
      <c r="G1167" t="str">
        <f>"00501661"</f>
        <v>00501661</v>
      </c>
      <c r="H1167">
        <v>0</v>
      </c>
      <c r="I1167">
        <v>0</v>
      </c>
      <c r="M1167">
        <v>4</v>
      </c>
      <c r="N1167">
        <v>0</v>
      </c>
      <c r="O1167">
        <v>0</v>
      </c>
      <c r="P1167">
        <v>4</v>
      </c>
      <c r="Q1167">
        <v>53</v>
      </c>
      <c r="R1167">
        <v>53</v>
      </c>
      <c r="S1167">
        <v>6</v>
      </c>
      <c r="T1167">
        <v>0</v>
      </c>
      <c r="U1167" s="1">
        <v>0</v>
      </c>
      <c r="V1167">
        <v>63</v>
      </c>
    </row>
    <row r="1168" spans="1:22" ht="15">
      <c r="A1168" s="4">
        <v>1161</v>
      </c>
      <c r="B1168">
        <v>228</v>
      </c>
      <c r="C1168" t="s">
        <v>2687</v>
      </c>
      <c r="D1168" t="s">
        <v>22</v>
      </c>
      <c r="E1168" t="s">
        <v>344</v>
      </c>
      <c r="F1168" t="s">
        <v>2688</v>
      </c>
      <c r="G1168" t="str">
        <f>"00529763"</f>
        <v>00529763</v>
      </c>
      <c r="H1168">
        <v>0</v>
      </c>
      <c r="I1168">
        <v>0</v>
      </c>
      <c r="M1168">
        <v>4</v>
      </c>
      <c r="N1168">
        <v>0</v>
      </c>
      <c r="O1168">
        <v>2</v>
      </c>
      <c r="P1168">
        <v>6</v>
      </c>
      <c r="Q1168">
        <v>48</v>
      </c>
      <c r="R1168">
        <v>48</v>
      </c>
      <c r="S1168">
        <v>9</v>
      </c>
      <c r="T1168">
        <v>0</v>
      </c>
      <c r="U1168" s="1">
        <v>0</v>
      </c>
      <c r="V1168">
        <v>63</v>
      </c>
    </row>
    <row r="1169" spans="1:22" ht="15">
      <c r="A1169" s="4">
        <v>1162</v>
      </c>
      <c r="B1169">
        <v>1834</v>
      </c>
      <c r="C1169" t="s">
        <v>2689</v>
      </c>
      <c r="D1169" t="s">
        <v>232</v>
      </c>
      <c r="E1169" t="s">
        <v>1196</v>
      </c>
      <c r="F1169" t="s">
        <v>2690</v>
      </c>
      <c r="G1169" t="str">
        <f>"00191265"</f>
        <v>00191265</v>
      </c>
      <c r="H1169">
        <v>31.72</v>
      </c>
      <c r="I1169">
        <v>0</v>
      </c>
      <c r="M1169">
        <v>4</v>
      </c>
      <c r="N1169">
        <v>0</v>
      </c>
      <c r="O1169">
        <v>0</v>
      </c>
      <c r="P1169">
        <v>35.72</v>
      </c>
      <c r="Q1169">
        <v>15</v>
      </c>
      <c r="R1169">
        <v>15</v>
      </c>
      <c r="S1169">
        <v>12</v>
      </c>
      <c r="T1169">
        <v>0</v>
      </c>
      <c r="U1169" s="1">
        <v>0</v>
      </c>
      <c r="V1169">
        <v>62.72</v>
      </c>
    </row>
    <row r="1170" spans="1:22" ht="15">
      <c r="A1170" s="4">
        <v>1163</v>
      </c>
      <c r="B1170">
        <v>491</v>
      </c>
      <c r="C1170" t="s">
        <v>2691</v>
      </c>
      <c r="D1170" t="s">
        <v>480</v>
      </c>
      <c r="E1170" t="s">
        <v>15</v>
      </c>
      <c r="F1170" t="s">
        <v>2692</v>
      </c>
      <c r="G1170" t="str">
        <f>"201602000431"</f>
        <v>201602000431</v>
      </c>
      <c r="H1170">
        <v>9.72</v>
      </c>
      <c r="I1170">
        <v>0</v>
      </c>
      <c r="M1170">
        <v>4</v>
      </c>
      <c r="N1170">
        <v>0</v>
      </c>
      <c r="O1170">
        <v>0</v>
      </c>
      <c r="P1170">
        <v>13.72</v>
      </c>
      <c r="Q1170">
        <v>43</v>
      </c>
      <c r="R1170">
        <v>43</v>
      </c>
      <c r="S1170">
        <v>6</v>
      </c>
      <c r="T1170">
        <v>0</v>
      </c>
      <c r="U1170" s="1">
        <v>0</v>
      </c>
      <c r="V1170">
        <v>62.72</v>
      </c>
    </row>
    <row r="1171" spans="1:22" ht="15">
      <c r="A1171" s="4">
        <v>1164</v>
      </c>
      <c r="B1171">
        <v>3067</v>
      </c>
      <c r="C1171" t="s">
        <v>489</v>
      </c>
      <c r="D1171" t="s">
        <v>26</v>
      </c>
      <c r="E1171" t="s">
        <v>23</v>
      </c>
      <c r="F1171" t="s">
        <v>2693</v>
      </c>
      <c r="G1171" t="str">
        <f>"00521489"</f>
        <v>00521489</v>
      </c>
      <c r="H1171">
        <v>27.68</v>
      </c>
      <c r="I1171">
        <v>10</v>
      </c>
      <c r="M1171">
        <v>4</v>
      </c>
      <c r="N1171">
        <v>0</v>
      </c>
      <c r="O1171">
        <v>0</v>
      </c>
      <c r="P1171">
        <v>41.68</v>
      </c>
      <c r="Q1171">
        <v>21</v>
      </c>
      <c r="R1171">
        <v>21</v>
      </c>
      <c r="S1171">
        <v>0</v>
      </c>
      <c r="T1171">
        <v>0</v>
      </c>
      <c r="U1171" s="1">
        <v>0</v>
      </c>
      <c r="V1171">
        <v>62.68</v>
      </c>
    </row>
    <row r="1172" spans="1:22" ht="15">
      <c r="A1172" s="4">
        <v>1165</v>
      </c>
      <c r="B1172">
        <v>2199</v>
      </c>
      <c r="C1172" t="s">
        <v>2694</v>
      </c>
      <c r="D1172" t="s">
        <v>697</v>
      </c>
      <c r="E1172" t="s">
        <v>1772</v>
      </c>
      <c r="F1172" t="s">
        <v>2695</v>
      </c>
      <c r="G1172" t="str">
        <f>"00532306"</f>
        <v>00532306</v>
      </c>
      <c r="H1172">
        <v>21.6</v>
      </c>
      <c r="I1172">
        <v>10</v>
      </c>
      <c r="L1172">
        <v>4</v>
      </c>
      <c r="M1172">
        <v>4</v>
      </c>
      <c r="N1172">
        <v>4</v>
      </c>
      <c r="O1172">
        <v>2</v>
      </c>
      <c r="P1172">
        <v>41.6</v>
      </c>
      <c r="Q1172">
        <v>21</v>
      </c>
      <c r="R1172">
        <v>21</v>
      </c>
      <c r="S1172">
        <v>0</v>
      </c>
      <c r="T1172">
        <v>0</v>
      </c>
      <c r="U1172" s="1">
        <v>0</v>
      </c>
      <c r="V1172">
        <v>62.6</v>
      </c>
    </row>
    <row r="1173" spans="1:22" ht="15">
      <c r="A1173" s="4">
        <v>1166</v>
      </c>
      <c r="B1173">
        <v>2778</v>
      </c>
      <c r="C1173" t="s">
        <v>13</v>
      </c>
      <c r="D1173" t="s">
        <v>173</v>
      </c>
      <c r="E1173" t="s">
        <v>15</v>
      </c>
      <c r="F1173" t="s">
        <v>2696</v>
      </c>
      <c r="G1173" t="str">
        <f>"00496998"</f>
        <v>00496998</v>
      </c>
      <c r="H1173">
        <v>21.6</v>
      </c>
      <c r="I1173">
        <v>0</v>
      </c>
      <c r="M1173">
        <v>0</v>
      </c>
      <c r="N1173">
        <v>0</v>
      </c>
      <c r="O1173">
        <v>0</v>
      </c>
      <c r="P1173">
        <v>21.6</v>
      </c>
      <c r="Q1173">
        <v>32</v>
      </c>
      <c r="R1173">
        <v>32</v>
      </c>
      <c r="S1173">
        <v>9</v>
      </c>
      <c r="T1173">
        <v>0</v>
      </c>
      <c r="U1173" s="1">
        <v>0</v>
      </c>
      <c r="V1173">
        <v>62.6</v>
      </c>
    </row>
    <row r="1174" spans="1:22" ht="15">
      <c r="A1174" s="4">
        <v>1167</v>
      </c>
      <c r="B1174">
        <v>2003</v>
      </c>
      <c r="C1174" t="s">
        <v>2697</v>
      </c>
      <c r="D1174" t="s">
        <v>82</v>
      </c>
      <c r="E1174" t="s">
        <v>19</v>
      </c>
      <c r="F1174" t="s">
        <v>2698</v>
      </c>
      <c r="G1174" t="str">
        <f>"00481337"</f>
        <v>00481337</v>
      </c>
      <c r="H1174">
        <v>21.6</v>
      </c>
      <c r="I1174">
        <v>0</v>
      </c>
      <c r="M1174">
        <v>4</v>
      </c>
      <c r="N1174">
        <v>0</v>
      </c>
      <c r="O1174">
        <v>0</v>
      </c>
      <c r="P1174">
        <v>25.6</v>
      </c>
      <c r="Q1174">
        <v>37</v>
      </c>
      <c r="R1174">
        <v>37</v>
      </c>
      <c r="S1174">
        <v>0</v>
      </c>
      <c r="T1174">
        <v>0</v>
      </c>
      <c r="U1174" s="1">
        <v>0</v>
      </c>
      <c r="V1174">
        <v>62.6</v>
      </c>
    </row>
    <row r="1175" spans="1:22" ht="15">
      <c r="A1175" s="4">
        <v>1168</v>
      </c>
      <c r="B1175">
        <v>2785</v>
      </c>
      <c r="C1175" t="s">
        <v>96</v>
      </c>
      <c r="D1175" t="s">
        <v>211</v>
      </c>
      <c r="E1175" t="s">
        <v>30</v>
      </c>
      <c r="F1175" t="s">
        <v>2699</v>
      </c>
      <c r="G1175" t="str">
        <f>"00531631"</f>
        <v>00531631</v>
      </c>
      <c r="H1175">
        <v>50.4</v>
      </c>
      <c r="I1175">
        <v>0</v>
      </c>
      <c r="J1175">
        <v>8</v>
      </c>
      <c r="M1175">
        <v>4</v>
      </c>
      <c r="N1175">
        <v>8</v>
      </c>
      <c r="O1175">
        <v>0</v>
      </c>
      <c r="P1175">
        <v>62.4</v>
      </c>
      <c r="Q1175">
        <v>0</v>
      </c>
      <c r="R1175">
        <v>0</v>
      </c>
      <c r="S1175">
        <v>0</v>
      </c>
      <c r="T1175">
        <v>0</v>
      </c>
      <c r="U1175" s="1">
        <v>0</v>
      </c>
      <c r="V1175">
        <v>62.4</v>
      </c>
    </row>
    <row r="1176" spans="1:22" ht="15">
      <c r="A1176" s="4">
        <v>1169</v>
      </c>
      <c r="B1176">
        <v>1694</v>
      </c>
      <c r="C1176" t="s">
        <v>2700</v>
      </c>
      <c r="D1176" t="s">
        <v>232</v>
      </c>
      <c r="E1176" t="s">
        <v>30</v>
      </c>
      <c r="F1176" t="s">
        <v>2701</v>
      </c>
      <c r="G1176" t="str">
        <f>"00490125"</f>
        <v>00490125</v>
      </c>
      <c r="H1176">
        <v>50.4</v>
      </c>
      <c r="I1176">
        <v>0</v>
      </c>
      <c r="M1176">
        <v>4</v>
      </c>
      <c r="N1176">
        <v>0</v>
      </c>
      <c r="O1176">
        <v>0</v>
      </c>
      <c r="P1176">
        <v>54.4</v>
      </c>
      <c r="Q1176">
        <v>8</v>
      </c>
      <c r="R1176">
        <v>8</v>
      </c>
      <c r="S1176">
        <v>0</v>
      </c>
      <c r="T1176">
        <v>0</v>
      </c>
      <c r="U1176" s="1">
        <v>0</v>
      </c>
      <c r="V1176">
        <v>62.4</v>
      </c>
    </row>
    <row r="1177" spans="1:22" ht="15">
      <c r="A1177" s="4">
        <v>1170</v>
      </c>
      <c r="B1177">
        <v>2593</v>
      </c>
      <c r="C1177" t="s">
        <v>1051</v>
      </c>
      <c r="D1177" t="s">
        <v>1492</v>
      </c>
      <c r="E1177" t="s">
        <v>327</v>
      </c>
      <c r="F1177" t="s">
        <v>2702</v>
      </c>
      <c r="G1177" t="str">
        <f>"00496959"</f>
        <v>00496959</v>
      </c>
      <c r="H1177">
        <v>20.36</v>
      </c>
      <c r="I1177">
        <v>0</v>
      </c>
      <c r="M1177">
        <v>4</v>
      </c>
      <c r="N1177">
        <v>0</v>
      </c>
      <c r="O1177">
        <v>0</v>
      </c>
      <c r="P1177">
        <v>24.36</v>
      </c>
      <c r="Q1177">
        <v>29</v>
      </c>
      <c r="R1177">
        <v>29</v>
      </c>
      <c r="S1177">
        <v>9</v>
      </c>
      <c r="T1177">
        <v>0</v>
      </c>
      <c r="U1177" s="1">
        <v>0</v>
      </c>
      <c r="V1177">
        <v>62.36</v>
      </c>
    </row>
    <row r="1178" spans="1:22" ht="15">
      <c r="A1178" s="4">
        <v>1171</v>
      </c>
      <c r="B1178">
        <v>675</v>
      </c>
      <c r="C1178" t="s">
        <v>2703</v>
      </c>
      <c r="D1178" t="s">
        <v>29</v>
      </c>
      <c r="E1178" t="s">
        <v>90</v>
      </c>
      <c r="F1178" t="s">
        <v>2704</v>
      </c>
      <c r="G1178" t="str">
        <f>"00527072"</f>
        <v>00527072</v>
      </c>
      <c r="H1178">
        <v>36.28</v>
      </c>
      <c r="I1178">
        <v>0</v>
      </c>
      <c r="M1178">
        <v>0</v>
      </c>
      <c r="N1178">
        <v>0</v>
      </c>
      <c r="O1178">
        <v>0</v>
      </c>
      <c r="P1178">
        <v>36.28</v>
      </c>
      <c r="Q1178">
        <v>0</v>
      </c>
      <c r="R1178">
        <v>0</v>
      </c>
      <c r="S1178">
        <v>6</v>
      </c>
      <c r="T1178">
        <v>20</v>
      </c>
      <c r="U1178" s="1">
        <v>0</v>
      </c>
      <c r="V1178">
        <v>62.28</v>
      </c>
    </row>
    <row r="1179" spans="1:22" ht="15">
      <c r="A1179" s="4">
        <v>1172</v>
      </c>
      <c r="B1179">
        <v>2882</v>
      </c>
      <c r="C1179" t="s">
        <v>2705</v>
      </c>
      <c r="D1179" t="s">
        <v>2231</v>
      </c>
      <c r="E1179" t="s">
        <v>19</v>
      </c>
      <c r="F1179" t="s">
        <v>2706</v>
      </c>
      <c r="G1179" t="str">
        <f>"00397221"</f>
        <v>00397221</v>
      </c>
      <c r="H1179">
        <v>39.28</v>
      </c>
      <c r="I1179">
        <v>10</v>
      </c>
      <c r="M1179">
        <v>4</v>
      </c>
      <c r="N1179">
        <v>0</v>
      </c>
      <c r="O1179">
        <v>0</v>
      </c>
      <c r="P1179">
        <v>53.28</v>
      </c>
      <c r="Q1179">
        <v>0</v>
      </c>
      <c r="R1179">
        <v>0</v>
      </c>
      <c r="S1179">
        <v>9</v>
      </c>
      <c r="T1179">
        <v>0</v>
      </c>
      <c r="U1179" s="1">
        <v>0</v>
      </c>
      <c r="V1179">
        <v>62.28</v>
      </c>
    </row>
    <row r="1180" spans="1:22" ht="15">
      <c r="A1180" s="4">
        <v>1173</v>
      </c>
      <c r="B1180">
        <v>1294</v>
      </c>
      <c r="C1180" t="s">
        <v>2707</v>
      </c>
      <c r="D1180" t="s">
        <v>89</v>
      </c>
      <c r="E1180" t="s">
        <v>15</v>
      </c>
      <c r="F1180" t="s">
        <v>2708</v>
      </c>
      <c r="G1180" t="str">
        <f>"00153855"</f>
        <v>00153855</v>
      </c>
      <c r="H1180">
        <v>43.2</v>
      </c>
      <c r="I1180">
        <v>0</v>
      </c>
      <c r="L1180">
        <v>4</v>
      </c>
      <c r="M1180">
        <v>4</v>
      </c>
      <c r="N1180">
        <v>4</v>
      </c>
      <c r="O1180">
        <v>0</v>
      </c>
      <c r="P1180">
        <v>51.2</v>
      </c>
      <c r="Q1180">
        <v>8</v>
      </c>
      <c r="R1180">
        <v>8</v>
      </c>
      <c r="S1180">
        <v>3</v>
      </c>
      <c r="T1180">
        <v>0</v>
      </c>
      <c r="U1180" s="1">
        <v>0</v>
      </c>
      <c r="V1180">
        <v>62.2</v>
      </c>
    </row>
    <row r="1181" spans="1:22" ht="15">
      <c r="A1181" s="4">
        <v>1174</v>
      </c>
      <c r="B1181">
        <v>2046</v>
      </c>
      <c r="C1181" t="s">
        <v>1478</v>
      </c>
      <c r="D1181" t="s">
        <v>1626</v>
      </c>
      <c r="E1181" t="s">
        <v>11</v>
      </c>
      <c r="F1181" t="s">
        <v>2709</v>
      </c>
      <c r="G1181" t="str">
        <f>"00532107"</f>
        <v>00532107</v>
      </c>
      <c r="H1181">
        <v>7.2</v>
      </c>
      <c r="I1181">
        <v>0</v>
      </c>
      <c r="M1181">
        <v>4</v>
      </c>
      <c r="N1181">
        <v>0</v>
      </c>
      <c r="O1181">
        <v>2</v>
      </c>
      <c r="P1181">
        <v>13.2</v>
      </c>
      <c r="Q1181">
        <v>49</v>
      </c>
      <c r="R1181">
        <v>49</v>
      </c>
      <c r="S1181">
        <v>0</v>
      </c>
      <c r="T1181">
        <v>0</v>
      </c>
      <c r="U1181" s="1">
        <v>0</v>
      </c>
      <c r="V1181">
        <v>62.2</v>
      </c>
    </row>
    <row r="1182" spans="1:22" ht="15">
      <c r="A1182" s="4">
        <v>1175</v>
      </c>
      <c r="B1182">
        <v>56</v>
      </c>
      <c r="C1182" t="s">
        <v>2710</v>
      </c>
      <c r="D1182" t="s">
        <v>280</v>
      </c>
      <c r="E1182" t="s">
        <v>90</v>
      </c>
      <c r="F1182" t="s">
        <v>2711</v>
      </c>
      <c r="G1182" t="str">
        <f>"00480734"</f>
        <v>00480734</v>
      </c>
      <c r="H1182">
        <v>43.2</v>
      </c>
      <c r="I1182">
        <v>0</v>
      </c>
      <c r="J1182">
        <v>8</v>
      </c>
      <c r="M1182">
        <v>0</v>
      </c>
      <c r="N1182">
        <v>8</v>
      </c>
      <c r="O1182">
        <v>0</v>
      </c>
      <c r="P1182">
        <v>51.2</v>
      </c>
      <c r="Q1182">
        <v>8</v>
      </c>
      <c r="R1182">
        <v>8</v>
      </c>
      <c r="S1182">
        <v>3</v>
      </c>
      <c r="T1182">
        <v>0</v>
      </c>
      <c r="U1182" s="1">
        <v>0</v>
      </c>
      <c r="V1182">
        <v>62.2</v>
      </c>
    </row>
    <row r="1183" spans="1:22" ht="15">
      <c r="A1183" s="4">
        <v>1176</v>
      </c>
      <c r="B1183">
        <v>2307</v>
      </c>
      <c r="C1183" t="s">
        <v>2712</v>
      </c>
      <c r="D1183" t="s">
        <v>89</v>
      </c>
      <c r="E1183" t="s">
        <v>73</v>
      </c>
      <c r="F1183" t="s">
        <v>2713</v>
      </c>
      <c r="G1183" t="str">
        <f>"00526466"</f>
        <v>00526466</v>
      </c>
      <c r="H1183">
        <v>43.2</v>
      </c>
      <c r="I1183">
        <v>0</v>
      </c>
      <c r="J1183">
        <v>8</v>
      </c>
      <c r="K1183">
        <v>6</v>
      </c>
      <c r="M1183">
        <v>4</v>
      </c>
      <c r="N1183">
        <v>14</v>
      </c>
      <c r="O1183">
        <v>0</v>
      </c>
      <c r="P1183">
        <v>61.2</v>
      </c>
      <c r="Q1183">
        <v>1</v>
      </c>
      <c r="R1183">
        <v>1</v>
      </c>
      <c r="S1183">
        <v>0</v>
      </c>
      <c r="T1183">
        <v>0</v>
      </c>
      <c r="U1183" s="1">
        <v>0</v>
      </c>
      <c r="V1183">
        <v>62.2</v>
      </c>
    </row>
    <row r="1184" spans="1:22" ht="15">
      <c r="A1184" s="4">
        <v>1177</v>
      </c>
      <c r="B1184">
        <v>3436</v>
      </c>
      <c r="C1184" t="s">
        <v>2714</v>
      </c>
      <c r="D1184" t="s">
        <v>643</v>
      </c>
      <c r="E1184" t="s">
        <v>11</v>
      </c>
      <c r="F1184" t="s">
        <v>2715</v>
      </c>
      <c r="G1184" t="str">
        <f>"00518119"</f>
        <v>00518119</v>
      </c>
      <c r="H1184">
        <v>29.16</v>
      </c>
      <c r="I1184">
        <v>0</v>
      </c>
      <c r="M1184">
        <v>4</v>
      </c>
      <c r="N1184">
        <v>0</v>
      </c>
      <c r="O1184">
        <v>0</v>
      </c>
      <c r="P1184">
        <v>33.16</v>
      </c>
      <c r="Q1184">
        <v>23</v>
      </c>
      <c r="R1184">
        <v>23</v>
      </c>
      <c r="S1184">
        <v>6</v>
      </c>
      <c r="T1184">
        <v>0</v>
      </c>
      <c r="U1184" s="1">
        <v>0</v>
      </c>
      <c r="V1184">
        <v>62.16</v>
      </c>
    </row>
    <row r="1185" spans="1:22" ht="15">
      <c r="A1185" s="4">
        <v>1178</v>
      </c>
      <c r="B1185">
        <v>2772</v>
      </c>
      <c r="C1185" t="s">
        <v>2716</v>
      </c>
      <c r="D1185" t="s">
        <v>14</v>
      </c>
      <c r="E1185" t="s">
        <v>23</v>
      </c>
      <c r="F1185" t="s">
        <v>2717</v>
      </c>
      <c r="G1185" t="str">
        <f>"00482862"</f>
        <v>00482862</v>
      </c>
      <c r="H1185">
        <v>35.12</v>
      </c>
      <c r="I1185">
        <v>0</v>
      </c>
      <c r="M1185">
        <v>4</v>
      </c>
      <c r="N1185">
        <v>0</v>
      </c>
      <c r="O1185">
        <v>0</v>
      </c>
      <c r="P1185">
        <v>39.12</v>
      </c>
      <c r="Q1185">
        <v>17</v>
      </c>
      <c r="R1185">
        <v>17</v>
      </c>
      <c r="S1185">
        <v>6</v>
      </c>
      <c r="T1185">
        <v>0</v>
      </c>
      <c r="U1185" s="1">
        <v>0</v>
      </c>
      <c r="V1185">
        <v>62.12</v>
      </c>
    </row>
    <row r="1186" spans="1:22" ht="15">
      <c r="A1186" s="4">
        <v>1179</v>
      </c>
      <c r="B1186">
        <v>2761</v>
      </c>
      <c r="C1186" t="s">
        <v>2575</v>
      </c>
      <c r="D1186" t="s">
        <v>280</v>
      </c>
      <c r="E1186" t="s">
        <v>11</v>
      </c>
      <c r="F1186" t="s">
        <v>2718</v>
      </c>
      <c r="G1186" t="str">
        <f>"201406004076"</f>
        <v>201406004076</v>
      </c>
      <c r="H1186">
        <v>36</v>
      </c>
      <c r="I1186">
        <v>0</v>
      </c>
      <c r="L1186">
        <v>4</v>
      </c>
      <c r="M1186">
        <v>4</v>
      </c>
      <c r="N1186">
        <v>4</v>
      </c>
      <c r="O1186">
        <v>0</v>
      </c>
      <c r="P1186">
        <v>44</v>
      </c>
      <c r="Q1186">
        <v>15</v>
      </c>
      <c r="R1186">
        <v>15</v>
      </c>
      <c r="S1186">
        <v>3</v>
      </c>
      <c r="T1186">
        <v>0</v>
      </c>
      <c r="U1186" s="1">
        <v>0</v>
      </c>
      <c r="V1186">
        <v>62</v>
      </c>
    </row>
    <row r="1187" spans="1:22" ht="15">
      <c r="A1187" s="4">
        <v>1180</v>
      </c>
      <c r="B1187">
        <v>627</v>
      </c>
      <c r="C1187" t="s">
        <v>2719</v>
      </c>
      <c r="D1187" t="s">
        <v>72</v>
      </c>
      <c r="E1187" t="s">
        <v>15</v>
      </c>
      <c r="F1187" t="s">
        <v>2720</v>
      </c>
      <c r="G1187" t="str">
        <f>"00526050"</f>
        <v>00526050</v>
      </c>
      <c r="H1187">
        <v>0</v>
      </c>
      <c r="I1187">
        <v>0</v>
      </c>
      <c r="M1187">
        <v>0</v>
      </c>
      <c r="N1187">
        <v>0</v>
      </c>
      <c r="O1187">
        <v>2</v>
      </c>
      <c r="P1187">
        <v>2</v>
      </c>
      <c r="Q1187">
        <v>60</v>
      </c>
      <c r="R1187">
        <v>60</v>
      </c>
      <c r="S1187">
        <v>0</v>
      </c>
      <c r="T1187">
        <v>0</v>
      </c>
      <c r="U1187" s="1">
        <v>0</v>
      </c>
      <c r="V1187">
        <v>62</v>
      </c>
    </row>
    <row r="1188" spans="1:22" ht="15">
      <c r="A1188" s="4">
        <v>1181</v>
      </c>
      <c r="B1188">
        <v>2342</v>
      </c>
      <c r="C1188" t="s">
        <v>937</v>
      </c>
      <c r="D1188" t="s">
        <v>14</v>
      </c>
      <c r="E1188" t="s">
        <v>51</v>
      </c>
      <c r="F1188" t="s">
        <v>2721</v>
      </c>
      <c r="G1188" t="str">
        <f>"00510949"</f>
        <v>00510949</v>
      </c>
      <c r="H1188">
        <v>0</v>
      </c>
      <c r="I1188">
        <v>0</v>
      </c>
      <c r="L1188">
        <v>4</v>
      </c>
      <c r="M1188">
        <v>4</v>
      </c>
      <c r="N1188">
        <v>4</v>
      </c>
      <c r="O1188">
        <v>0</v>
      </c>
      <c r="P1188">
        <v>8</v>
      </c>
      <c r="Q1188">
        <v>51</v>
      </c>
      <c r="R1188">
        <v>51</v>
      </c>
      <c r="S1188">
        <v>3</v>
      </c>
      <c r="T1188">
        <v>0</v>
      </c>
      <c r="U1188" s="1">
        <v>0</v>
      </c>
      <c r="V1188">
        <v>62</v>
      </c>
    </row>
    <row r="1189" spans="1:22" ht="15">
      <c r="A1189" s="4">
        <v>1182</v>
      </c>
      <c r="B1189">
        <v>2125</v>
      </c>
      <c r="C1189" t="s">
        <v>2722</v>
      </c>
      <c r="D1189" t="s">
        <v>211</v>
      </c>
      <c r="E1189" t="s">
        <v>90</v>
      </c>
      <c r="F1189" t="s">
        <v>2723</v>
      </c>
      <c r="G1189" t="str">
        <f>"00530222"</f>
        <v>00530222</v>
      </c>
      <c r="H1189">
        <v>24</v>
      </c>
      <c r="I1189">
        <v>0</v>
      </c>
      <c r="M1189">
        <v>4</v>
      </c>
      <c r="N1189">
        <v>0</v>
      </c>
      <c r="O1189">
        <v>2</v>
      </c>
      <c r="P1189">
        <v>30</v>
      </c>
      <c r="Q1189">
        <v>26</v>
      </c>
      <c r="R1189">
        <v>26</v>
      </c>
      <c r="S1189">
        <v>6</v>
      </c>
      <c r="T1189">
        <v>0</v>
      </c>
      <c r="U1189" s="1">
        <v>0</v>
      </c>
      <c r="V1189">
        <v>62</v>
      </c>
    </row>
    <row r="1190" spans="1:22" ht="15">
      <c r="A1190" s="4">
        <v>1183</v>
      </c>
      <c r="B1190">
        <v>1102</v>
      </c>
      <c r="C1190" t="s">
        <v>2724</v>
      </c>
      <c r="D1190" t="s">
        <v>89</v>
      </c>
      <c r="E1190" t="s">
        <v>55</v>
      </c>
      <c r="F1190" t="s">
        <v>2725</v>
      </c>
      <c r="G1190" t="str">
        <f>"00211982"</f>
        <v>00211982</v>
      </c>
      <c r="H1190">
        <v>40</v>
      </c>
      <c r="I1190">
        <v>0</v>
      </c>
      <c r="L1190">
        <v>4</v>
      </c>
      <c r="M1190">
        <v>4</v>
      </c>
      <c r="N1190">
        <v>4</v>
      </c>
      <c r="O1190">
        <v>0</v>
      </c>
      <c r="P1190">
        <v>48</v>
      </c>
      <c r="Q1190">
        <v>8</v>
      </c>
      <c r="R1190">
        <v>8</v>
      </c>
      <c r="S1190">
        <v>6</v>
      </c>
      <c r="T1190">
        <v>0</v>
      </c>
      <c r="U1190" s="1">
        <v>0</v>
      </c>
      <c r="V1190">
        <v>62</v>
      </c>
    </row>
    <row r="1191" spans="1:22" ht="15">
      <c r="A1191" s="4">
        <v>1184</v>
      </c>
      <c r="B1191">
        <v>2315</v>
      </c>
      <c r="C1191" t="s">
        <v>2726</v>
      </c>
      <c r="D1191" t="s">
        <v>496</v>
      </c>
      <c r="E1191" t="s">
        <v>51</v>
      </c>
      <c r="F1191" t="s">
        <v>2727</v>
      </c>
      <c r="G1191" t="str">
        <f>"00531573"</f>
        <v>00531573</v>
      </c>
      <c r="H1191">
        <v>28.8</v>
      </c>
      <c r="I1191">
        <v>0</v>
      </c>
      <c r="L1191">
        <v>4</v>
      </c>
      <c r="M1191">
        <v>0</v>
      </c>
      <c r="N1191">
        <v>4</v>
      </c>
      <c r="O1191">
        <v>0</v>
      </c>
      <c r="P1191">
        <v>32.8</v>
      </c>
      <c r="Q1191">
        <v>29</v>
      </c>
      <c r="R1191">
        <v>29</v>
      </c>
      <c r="S1191">
        <v>0</v>
      </c>
      <c r="T1191">
        <v>0</v>
      </c>
      <c r="U1191" s="1">
        <v>0</v>
      </c>
      <c r="V1191">
        <v>61.8</v>
      </c>
    </row>
    <row r="1192" spans="1:22" ht="15">
      <c r="A1192" s="4">
        <v>1185</v>
      </c>
      <c r="B1192">
        <v>2560</v>
      </c>
      <c r="C1192" t="s">
        <v>2728</v>
      </c>
      <c r="D1192" t="s">
        <v>14</v>
      </c>
      <c r="E1192" t="s">
        <v>447</v>
      </c>
      <c r="F1192" t="s">
        <v>2729</v>
      </c>
      <c r="G1192" t="str">
        <f>"00152479"</f>
        <v>00152479</v>
      </c>
      <c r="H1192">
        <v>28.8</v>
      </c>
      <c r="I1192">
        <v>0</v>
      </c>
      <c r="M1192">
        <v>0</v>
      </c>
      <c r="N1192">
        <v>0</v>
      </c>
      <c r="O1192">
        <v>0</v>
      </c>
      <c r="P1192">
        <v>28.8</v>
      </c>
      <c r="Q1192">
        <v>27</v>
      </c>
      <c r="R1192">
        <v>27</v>
      </c>
      <c r="S1192">
        <v>6</v>
      </c>
      <c r="T1192">
        <v>0</v>
      </c>
      <c r="U1192" s="1">
        <v>0</v>
      </c>
      <c r="V1192">
        <v>61.8</v>
      </c>
    </row>
    <row r="1193" spans="1:22" ht="15">
      <c r="A1193" s="4">
        <v>1186</v>
      </c>
      <c r="B1193">
        <v>2708</v>
      </c>
      <c r="C1193" t="s">
        <v>2730</v>
      </c>
      <c r="D1193" t="s">
        <v>978</v>
      </c>
      <c r="E1193" t="s">
        <v>644</v>
      </c>
      <c r="F1193" t="s">
        <v>2731</v>
      </c>
      <c r="G1193" t="str">
        <f>"201511037626"</f>
        <v>201511037626</v>
      </c>
      <c r="H1193">
        <v>34.8</v>
      </c>
      <c r="I1193">
        <v>0</v>
      </c>
      <c r="L1193">
        <v>4</v>
      </c>
      <c r="M1193">
        <v>4</v>
      </c>
      <c r="N1193">
        <v>4</v>
      </c>
      <c r="O1193">
        <v>0</v>
      </c>
      <c r="P1193">
        <v>42.8</v>
      </c>
      <c r="Q1193">
        <v>13</v>
      </c>
      <c r="R1193">
        <v>13</v>
      </c>
      <c r="S1193">
        <v>6</v>
      </c>
      <c r="T1193">
        <v>0</v>
      </c>
      <c r="U1193" s="1">
        <v>0</v>
      </c>
      <c r="V1193">
        <v>61.8</v>
      </c>
    </row>
    <row r="1194" spans="1:22" ht="15">
      <c r="A1194" s="4">
        <v>1187</v>
      </c>
      <c r="B1194">
        <v>1229</v>
      </c>
      <c r="C1194" t="s">
        <v>2732</v>
      </c>
      <c r="D1194" t="s">
        <v>14</v>
      </c>
      <c r="E1194" t="s">
        <v>2733</v>
      </c>
      <c r="F1194" t="s">
        <v>2734</v>
      </c>
      <c r="G1194" t="str">
        <f>"00526064"</f>
        <v>00526064</v>
      </c>
      <c r="H1194">
        <v>57.6</v>
      </c>
      <c r="I1194">
        <v>0</v>
      </c>
      <c r="M1194">
        <v>4</v>
      </c>
      <c r="N1194">
        <v>0</v>
      </c>
      <c r="O1194">
        <v>0</v>
      </c>
      <c r="P1194">
        <v>61.6</v>
      </c>
      <c r="Q1194">
        <v>0</v>
      </c>
      <c r="R1194">
        <v>0</v>
      </c>
      <c r="S1194">
        <v>0</v>
      </c>
      <c r="T1194">
        <v>0</v>
      </c>
      <c r="U1194" s="1">
        <v>0</v>
      </c>
      <c r="V1194">
        <v>61.6</v>
      </c>
    </row>
    <row r="1195" spans="1:22" ht="15">
      <c r="A1195" s="4">
        <v>1188</v>
      </c>
      <c r="B1195">
        <v>1851</v>
      </c>
      <c r="C1195" t="s">
        <v>2735</v>
      </c>
      <c r="D1195" t="s">
        <v>89</v>
      </c>
      <c r="E1195" t="s">
        <v>11</v>
      </c>
      <c r="F1195" t="s">
        <v>2736</v>
      </c>
      <c r="G1195" t="str">
        <f>"00531280"</f>
        <v>00531280</v>
      </c>
      <c r="H1195">
        <v>57.6</v>
      </c>
      <c r="I1195">
        <v>0</v>
      </c>
      <c r="M1195">
        <v>4</v>
      </c>
      <c r="N1195">
        <v>0</v>
      </c>
      <c r="O1195">
        <v>0</v>
      </c>
      <c r="P1195">
        <v>61.6</v>
      </c>
      <c r="Q1195">
        <v>0</v>
      </c>
      <c r="R1195">
        <v>0</v>
      </c>
      <c r="S1195">
        <v>0</v>
      </c>
      <c r="T1195">
        <v>0</v>
      </c>
      <c r="U1195" s="1">
        <v>0</v>
      </c>
      <c r="V1195">
        <v>61.6</v>
      </c>
    </row>
    <row r="1196" spans="1:22" ht="15">
      <c r="A1196" s="4">
        <v>1189</v>
      </c>
      <c r="B1196">
        <v>141</v>
      </c>
      <c r="C1196" t="s">
        <v>2737</v>
      </c>
      <c r="D1196" t="s">
        <v>958</v>
      </c>
      <c r="E1196" t="s">
        <v>19</v>
      </c>
      <c r="F1196" t="s">
        <v>2738</v>
      </c>
      <c r="G1196" t="str">
        <f>"00527509"</f>
        <v>00527509</v>
      </c>
      <c r="H1196">
        <v>57.6</v>
      </c>
      <c r="I1196">
        <v>0</v>
      </c>
      <c r="M1196">
        <v>4</v>
      </c>
      <c r="N1196">
        <v>0</v>
      </c>
      <c r="O1196">
        <v>0</v>
      </c>
      <c r="P1196">
        <v>61.6</v>
      </c>
      <c r="Q1196">
        <v>0</v>
      </c>
      <c r="R1196">
        <v>0</v>
      </c>
      <c r="S1196">
        <v>0</v>
      </c>
      <c r="T1196">
        <v>0</v>
      </c>
      <c r="U1196" s="1">
        <v>0</v>
      </c>
      <c r="V1196">
        <v>61.6</v>
      </c>
    </row>
    <row r="1197" spans="1:22" ht="15">
      <c r="A1197" s="4">
        <v>1190</v>
      </c>
      <c r="B1197">
        <v>2489</v>
      </c>
      <c r="C1197" t="s">
        <v>1883</v>
      </c>
      <c r="D1197" t="s">
        <v>102</v>
      </c>
      <c r="E1197" t="s">
        <v>23</v>
      </c>
      <c r="F1197" t="s">
        <v>2739</v>
      </c>
      <c r="G1197" t="str">
        <f>"00458198"</f>
        <v>00458198</v>
      </c>
      <c r="H1197">
        <v>57.6</v>
      </c>
      <c r="I1197">
        <v>0</v>
      </c>
      <c r="M1197">
        <v>4</v>
      </c>
      <c r="N1197">
        <v>0</v>
      </c>
      <c r="O1197">
        <v>0</v>
      </c>
      <c r="P1197">
        <v>61.6</v>
      </c>
      <c r="Q1197">
        <v>0</v>
      </c>
      <c r="R1197">
        <v>0</v>
      </c>
      <c r="S1197">
        <v>0</v>
      </c>
      <c r="T1197">
        <v>0</v>
      </c>
      <c r="U1197" s="1">
        <v>0</v>
      </c>
      <c r="V1197">
        <v>61.6</v>
      </c>
    </row>
    <row r="1198" spans="1:22" ht="15">
      <c r="A1198" s="4">
        <v>1191</v>
      </c>
      <c r="B1198">
        <v>204</v>
      </c>
      <c r="C1198" t="s">
        <v>2608</v>
      </c>
      <c r="D1198" t="s">
        <v>173</v>
      </c>
      <c r="E1198" t="s">
        <v>23</v>
      </c>
      <c r="F1198" t="s">
        <v>2740</v>
      </c>
      <c r="G1198" t="str">
        <f>"00330838"</f>
        <v>00330838</v>
      </c>
      <c r="H1198">
        <v>57.6</v>
      </c>
      <c r="I1198">
        <v>0</v>
      </c>
      <c r="L1198">
        <v>4</v>
      </c>
      <c r="M1198">
        <v>0</v>
      </c>
      <c r="N1198">
        <v>4</v>
      </c>
      <c r="O1198">
        <v>0</v>
      </c>
      <c r="P1198">
        <v>61.6</v>
      </c>
      <c r="Q1198">
        <v>0</v>
      </c>
      <c r="R1198">
        <v>0</v>
      </c>
      <c r="S1198">
        <v>0</v>
      </c>
      <c r="T1198">
        <v>0</v>
      </c>
      <c r="U1198" s="1">
        <v>0</v>
      </c>
      <c r="V1198">
        <v>61.6</v>
      </c>
    </row>
    <row r="1199" spans="1:22" ht="15">
      <c r="A1199" s="4">
        <v>1192</v>
      </c>
      <c r="B1199">
        <v>1976</v>
      </c>
      <c r="C1199" t="s">
        <v>2741</v>
      </c>
      <c r="D1199" t="s">
        <v>26</v>
      </c>
      <c r="E1199" t="s">
        <v>440</v>
      </c>
      <c r="F1199" t="s">
        <v>2742</v>
      </c>
      <c r="G1199" t="str">
        <f>"00530645"</f>
        <v>00530645</v>
      </c>
      <c r="H1199">
        <v>39.56</v>
      </c>
      <c r="I1199">
        <v>0</v>
      </c>
      <c r="M1199">
        <v>4</v>
      </c>
      <c r="N1199">
        <v>0</v>
      </c>
      <c r="O1199">
        <v>0</v>
      </c>
      <c r="P1199">
        <v>43.56</v>
      </c>
      <c r="Q1199">
        <v>18</v>
      </c>
      <c r="R1199">
        <v>18</v>
      </c>
      <c r="S1199">
        <v>0</v>
      </c>
      <c r="T1199">
        <v>0</v>
      </c>
      <c r="U1199" s="1">
        <v>0</v>
      </c>
      <c r="V1199">
        <v>61.56</v>
      </c>
    </row>
    <row r="1200" spans="1:22" ht="15">
      <c r="A1200" s="4">
        <v>1193</v>
      </c>
      <c r="B1200">
        <v>2511</v>
      </c>
      <c r="C1200" t="s">
        <v>2743</v>
      </c>
      <c r="D1200" t="s">
        <v>14</v>
      </c>
      <c r="E1200" t="s">
        <v>447</v>
      </c>
      <c r="F1200" t="s">
        <v>2744</v>
      </c>
      <c r="G1200" t="str">
        <f>"00513700"</f>
        <v>00513700</v>
      </c>
      <c r="H1200">
        <v>50.4</v>
      </c>
      <c r="I1200">
        <v>0</v>
      </c>
      <c r="L1200">
        <v>4</v>
      </c>
      <c r="M1200">
        <v>4</v>
      </c>
      <c r="N1200">
        <v>4</v>
      </c>
      <c r="O1200">
        <v>0</v>
      </c>
      <c r="P1200">
        <v>58.4</v>
      </c>
      <c r="Q1200">
        <v>0</v>
      </c>
      <c r="R1200">
        <v>0</v>
      </c>
      <c r="S1200">
        <v>3</v>
      </c>
      <c r="T1200">
        <v>0</v>
      </c>
      <c r="U1200" s="1">
        <v>0</v>
      </c>
      <c r="V1200">
        <v>61.4</v>
      </c>
    </row>
    <row r="1201" spans="1:22" ht="15">
      <c r="A1201" s="4">
        <v>1194</v>
      </c>
      <c r="B1201">
        <v>1770</v>
      </c>
      <c r="C1201" t="s">
        <v>2464</v>
      </c>
      <c r="D1201" t="s">
        <v>14</v>
      </c>
      <c r="E1201" t="s">
        <v>1497</v>
      </c>
      <c r="F1201" t="s">
        <v>2745</v>
      </c>
      <c r="G1201" t="str">
        <f>"00527260"</f>
        <v>00527260</v>
      </c>
      <c r="H1201">
        <v>50.4</v>
      </c>
      <c r="I1201">
        <v>0</v>
      </c>
      <c r="M1201">
        <v>4</v>
      </c>
      <c r="N1201">
        <v>0</v>
      </c>
      <c r="O1201">
        <v>0</v>
      </c>
      <c r="P1201">
        <v>54.4</v>
      </c>
      <c r="Q1201">
        <v>7</v>
      </c>
      <c r="R1201">
        <v>7</v>
      </c>
      <c r="S1201">
        <v>0</v>
      </c>
      <c r="T1201">
        <v>0</v>
      </c>
      <c r="U1201" s="1">
        <v>0</v>
      </c>
      <c r="V1201">
        <v>61.4</v>
      </c>
    </row>
    <row r="1202" spans="1:22" ht="15">
      <c r="A1202" s="4">
        <v>1195</v>
      </c>
      <c r="B1202">
        <v>1525</v>
      </c>
      <c r="C1202" t="s">
        <v>2746</v>
      </c>
      <c r="D1202" t="s">
        <v>14</v>
      </c>
      <c r="E1202" t="s">
        <v>11</v>
      </c>
      <c r="F1202" t="s">
        <v>2747</v>
      </c>
      <c r="G1202" t="str">
        <f>"00515708"</f>
        <v>00515708</v>
      </c>
      <c r="H1202">
        <v>35.4</v>
      </c>
      <c r="I1202">
        <v>0</v>
      </c>
      <c r="L1202">
        <v>4</v>
      </c>
      <c r="M1202">
        <v>4</v>
      </c>
      <c r="N1202">
        <v>4</v>
      </c>
      <c r="O1202">
        <v>0</v>
      </c>
      <c r="P1202">
        <v>43.4</v>
      </c>
      <c r="Q1202">
        <v>18</v>
      </c>
      <c r="R1202">
        <v>18</v>
      </c>
      <c r="S1202">
        <v>0</v>
      </c>
      <c r="T1202">
        <v>0</v>
      </c>
      <c r="U1202" s="1">
        <v>0</v>
      </c>
      <c r="V1202">
        <v>61.4</v>
      </c>
    </row>
    <row r="1203" spans="1:22" ht="15">
      <c r="A1203" s="4">
        <v>1196</v>
      </c>
      <c r="B1203">
        <v>3251</v>
      </c>
      <c r="C1203" t="s">
        <v>2748</v>
      </c>
      <c r="D1203" t="s">
        <v>1796</v>
      </c>
      <c r="E1203" t="s">
        <v>2749</v>
      </c>
      <c r="F1203">
        <v>167039</v>
      </c>
      <c r="G1203" t="str">
        <f>"00480055"</f>
        <v>00480055</v>
      </c>
      <c r="H1203">
        <v>43.2</v>
      </c>
      <c r="I1203">
        <v>0</v>
      </c>
      <c r="L1203">
        <v>4</v>
      </c>
      <c r="M1203">
        <v>4</v>
      </c>
      <c r="N1203">
        <v>4</v>
      </c>
      <c r="O1203">
        <v>0</v>
      </c>
      <c r="P1203">
        <v>51.2</v>
      </c>
      <c r="Q1203">
        <v>7</v>
      </c>
      <c r="R1203">
        <v>7</v>
      </c>
      <c r="S1203">
        <v>3</v>
      </c>
      <c r="T1203">
        <v>0</v>
      </c>
      <c r="U1203" s="1">
        <v>0</v>
      </c>
      <c r="V1203">
        <v>61.2</v>
      </c>
    </row>
    <row r="1204" spans="1:22" ht="15">
      <c r="A1204" s="4">
        <v>1197</v>
      </c>
      <c r="B1204">
        <v>710</v>
      </c>
      <c r="C1204" t="s">
        <v>2750</v>
      </c>
      <c r="D1204" t="s">
        <v>2005</v>
      </c>
      <c r="E1204" t="s">
        <v>499</v>
      </c>
      <c r="F1204" t="s">
        <v>2751</v>
      </c>
      <c r="G1204" t="str">
        <f>"00263529"</f>
        <v>00263529</v>
      </c>
      <c r="H1204">
        <v>43.2</v>
      </c>
      <c r="I1204">
        <v>0</v>
      </c>
      <c r="M1204">
        <v>4</v>
      </c>
      <c r="N1204">
        <v>0</v>
      </c>
      <c r="O1204">
        <v>0</v>
      </c>
      <c r="P1204">
        <v>47.2</v>
      </c>
      <c r="Q1204">
        <v>8</v>
      </c>
      <c r="R1204">
        <v>8</v>
      </c>
      <c r="S1204">
        <v>6</v>
      </c>
      <c r="T1204">
        <v>0</v>
      </c>
      <c r="U1204" s="1">
        <v>0</v>
      </c>
      <c r="V1204">
        <v>61.2</v>
      </c>
    </row>
    <row r="1205" spans="1:22" ht="15">
      <c r="A1205" s="4">
        <v>1198</v>
      </c>
      <c r="B1205">
        <v>1825</v>
      </c>
      <c r="C1205" t="s">
        <v>2752</v>
      </c>
      <c r="D1205" t="s">
        <v>697</v>
      </c>
      <c r="E1205" t="s">
        <v>270</v>
      </c>
      <c r="F1205" t="s">
        <v>2753</v>
      </c>
      <c r="G1205" t="str">
        <f>"00509399"</f>
        <v>00509399</v>
      </c>
      <c r="H1205">
        <v>39.2</v>
      </c>
      <c r="I1205">
        <v>0</v>
      </c>
      <c r="M1205">
        <v>0</v>
      </c>
      <c r="N1205">
        <v>0</v>
      </c>
      <c r="O1205">
        <v>0</v>
      </c>
      <c r="P1205">
        <v>39.2</v>
      </c>
      <c r="Q1205">
        <v>16</v>
      </c>
      <c r="R1205">
        <v>16</v>
      </c>
      <c r="S1205">
        <v>6</v>
      </c>
      <c r="T1205">
        <v>0</v>
      </c>
      <c r="U1205" s="1">
        <v>0</v>
      </c>
      <c r="V1205">
        <v>61.2</v>
      </c>
    </row>
    <row r="1206" spans="1:22" ht="15">
      <c r="A1206" s="4">
        <v>1199</v>
      </c>
      <c r="B1206">
        <v>3434</v>
      </c>
      <c r="C1206" t="s">
        <v>2754</v>
      </c>
      <c r="D1206" t="s">
        <v>2755</v>
      </c>
      <c r="E1206" t="s">
        <v>51</v>
      </c>
      <c r="F1206" t="s">
        <v>2756</v>
      </c>
      <c r="G1206" t="str">
        <f>"00533094"</f>
        <v>00533094</v>
      </c>
      <c r="H1206">
        <v>43.2</v>
      </c>
      <c r="I1206">
        <v>10</v>
      </c>
      <c r="L1206">
        <v>4</v>
      </c>
      <c r="M1206">
        <v>4</v>
      </c>
      <c r="N1206">
        <v>4</v>
      </c>
      <c r="O1206">
        <v>0</v>
      </c>
      <c r="P1206">
        <v>61.2</v>
      </c>
      <c r="Q1206">
        <v>0</v>
      </c>
      <c r="R1206">
        <v>0</v>
      </c>
      <c r="S1206">
        <v>0</v>
      </c>
      <c r="T1206">
        <v>0</v>
      </c>
      <c r="U1206" s="1">
        <v>0</v>
      </c>
      <c r="V1206">
        <v>61.2</v>
      </c>
    </row>
    <row r="1207" spans="1:22" ht="15">
      <c r="A1207" s="4">
        <v>1200</v>
      </c>
      <c r="B1207">
        <v>2689</v>
      </c>
      <c r="C1207" t="s">
        <v>2253</v>
      </c>
      <c r="D1207" t="s">
        <v>156</v>
      </c>
      <c r="E1207" t="s">
        <v>41</v>
      </c>
      <c r="F1207" t="s">
        <v>2757</v>
      </c>
      <c r="G1207" t="str">
        <f>"00086947"</f>
        <v>00086947</v>
      </c>
      <c r="H1207">
        <v>43.2</v>
      </c>
      <c r="I1207">
        <v>10</v>
      </c>
      <c r="L1207">
        <v>4</v>
      </c>
      <c r="M1207">
        <v>4</v>
      </c>
      <c r="N1207">
        <v>4</v>
      </c>
      <c r="O1207">
        <v>0</v>
      </c>
      <c r="P1207">
        <v>61.2</v>
      </c>
      <c r="Q1207">
        <v>0</v>
      </c>
      <c r="R1207">
        <v>0</v>
      </c>
      <c r="S1207">
        <v>0</v>
      </c>
      <c r="T1207">
        <v>0</v>
      </c>
      <c r="U1207" s="1">
        <v>0</v>
      </c>
      <c r="V1207">
        <v>61.2</v>
      </c>
    </row>
    <row r="1208" spans="1:22" ht="15">
      <c r="A1208" s="4">
        <v>1201</v>
      </c>
      <c r="B1208">
        <v>2222</v>
      </c>
      <c r="C1208" t="s">
        <v>2758</v>
      </c>
      <c r="D1208" t="s">
        <v>105</v>
      </c>
      <c r="E1208" t="s">
        <v>2759</v>
      </c>
      <c r="F1208" t="s">
        <v>2760</v>
      </c>
      <c r="G1208" t="str">
        <f>"00531171"</f>
        <v>00531171</v>
      </c>
      <c r="H1208">
        <v>43.2</v>
      </c>
      <c r="I1208">
        <v>10</v>
      </c>
      <c r="L1208">
        <v>4</v>
      </c>
      <c r="M1208">
        <v>4</v>
      </c>
      <c r="N1208">
        <v>4</v>
      </c>
      <c r="O1208">
        <v>0</v>
      </c>
      <c r="P1208">
        <v>61.2</v>
      </c>
      <c r="Q1208">
        <v>0</v>
      </c>
      <c r="R1208">
        <v>0</v>
      </c>
      <c r="S1208">
        <v>0</v>
      </c>
      <c r="T1208">
        <v>0</v>
      </c>
      <c r="U1208" s="1">
        <v>0</v>
      </c>
      <c r="V1208">
        <v>61.2</v>
      </c>
    </row>
    <row r="1209" spans="1:22" ht="15">
      <c r="A1209" s="4">
        <v>1202</v>
      </c>
      <c r="B1209">
        <v>3171</v>
      </c>
      <c r="C1209" t="s">
        <v>2761</v>
      </c>
      <c r="D1209" t="s">
        <v>799</v>
      </c>
      <c r="E1209" t="s">
        <v>403</v>
      </c>
      <c r="F1209" t="s">
        <v>2762</v>
      </c>
      <c r="G1209" t="str">
        <f>"00523445"</f>
        <v>00523445</v>
      </c>
      <c r="H1209">
        <v>43.2</v>
      </c>
      <c r="I1209">
        <v>0</v>
      </c>
      <c r="M1209">
        <v>0</v>
      </c>
      <c r="N1209">
        <v>0</v>
      </c>
      <c r="O1209">
        <v>0</v>
      </c>
      <c r="P1209">
        <v>43.2</v>
      </c>
      <c r="Q1209">
        <v>12</v>
      </c>
      <c r="R1209">
        <v>12</v>
      </c>
      <c r="S1209">
        <v>6</v>
      </c>
      <c r="T1209">
        <v>0</v>
      </c>
      <c r="U1209" s="1">
        <v>0</v>
      </c>
      <c r="V1209">
        <v>61.2</v>
      </c>
    </row>
    <row r="1210" spans="1:22" ht="15">
      <c r="A1210" s="4">
        <v>1203</v>
      </c>
      <c r="B1210">
        <v>1897</v>
      </c>
      <c r="C1210" t="s">
        <v>2763</v>
      </c>
      <c r="D1210" t="s">
        <v>2764</v>
      </c>
      <c r="E1210" t="s">
        <v>2765</v>
      </c>
      <c r="F1210" t="s">
        <v>2766</v>
      </c>
      <c r="G1210" t="str">
        <f>"00161163"</f>
        <v>00161163</v>
      </c>
      <c r="H1210">
        <v>39.2</v>
      </c>
      <c r="I1210">
        <v>0</v>
      </c>
      <c r="L1210">
        <v>4</v>
      </c>
      <c r="M1210">
        <v>4</v>
      </c>
      <c r="N1210">
        <v>4</v>
      </c>
      <c r="O1210">
        <v>0</v>
      </c>
      <c r="P1210">
        <v>47.2</v>
      </c>
      <c r="Q1210">
        <v>14</v>
      </c>
      <c r="R1210">
        <v>14</v>
      </c>
      <c r="S1210">
        <v>0</v>
      </c>
      <c r="T1210">
        <v>0</v>
      </c>
      <c r="U1210" s="1">
        <v>0</v>
      </c>
      <c r="V1210">
        <v>61.2</v>
      </c>
    </row>
    <row r="1211" spans="1:22" ht="15">
      <c r="A1211" s="4">
        <v>1204</v>
      </c>
      <c r="B1211">
        <v>2702</v>
      </c>
      <c r="C1211" t="s">
        <v>2767</v>
      </c>
      <c r="D1211" t="s">
        <v>511</v>
      </c>
      <c r="E1211" t="s">
        <v>90</v>
      </c>
      <c r="F1211" t="s">
        <v>2768</v>
      </c>
      <c r="G1211" t="str">
        <f>"00529887"</f>
        <v>00529887</v>
      </c>
      <c r="H1211">
        <v>31.12</v>
      </c>
      <c r="I1211">
        <v>0</v>
      </c>
      <c r="M1211">
        <v>0</v>
      </c>
      <c r="N1211">
        <v>0</v>
      </c>
      <c r="O1211">
        <v>0</v>
      </c>
      <c r="P1211">
        <v>31.12</v>
      </c>
      <c r="Q1211">
        <v>24</v>
      </c>
      <c r="R1211">
        <v>24</v>
      </c>
      <c r="S1211">
        <v>6</v>
      </c>
      <c r="T1211">
        <v>0</v>
      </c>
      <c r="U1211" s="1">
        <v>0</v>
      </c>
      <c r="V1211">
        <v>61.12</v>
      </c>
    </row>
    <row r="1212" spans="1:22" ht="15">
      <c r="A1212" s="4">
        <v>1205</v>
      </c>
      <c r="B1212">
        <v>3338</v>
      </c>
      <c r="C1212" t="s">
        <v>2769</v>
      </c>
      <c r="D1212" t="s">
        <v>280</v>
      </c>
      <c r="E1212" t="s">
        <v>11</v>
      </c>
      <c r="F1212" t="s">
        <v>2770</v>
      </c>
      <c r="G1212" t="str">
        <f>"00502820"</f>
        <v>00502820</v>
      </c>
      <c r="H1212">
        <v>36</v>
      </c>
      <c r="I1212">
        <v>0</v>
      </c>
      <c r="L1212">
        <v>4</v>
      </c>
      <c r="M1212">
        <v>4</v>
      </c>
      <c r="N1212">
        <v>4</v>
      </c>
      <c r="O1212">
        <v>0</v>
      </c>
      <c r="P1212">
        <v>44</v>
      </c>
      <c r="Q1212">
        <v>17</v>
      </c>
      <c r="R1212">
        <v>17</v>
      </c>
      <c r="S1212">
        <v>0</v>
      </c>
      <c r="T1212">
        <v>0</v>
      </c>
      <c r="U1212" s="1">
        <v>0</v>
      </c>
      <c r="V1212">
        <v>61</v>
      </c>
    </row>
    <row r="1213" spans="1:22" ht="15">
      <c r="A1213" s="4">
        <v>1206</v>
      </c>
      <c r="B1213">
        <v>431</v>
      </c>
      <c r="C1213" t="s">
        <v>2771</v>
      </c>
      <c r="D1213" t="s">
        <v>211</v>
      </c>
      <c r="E1213" t="s">
        <v>270</v>
      </c>
      <c r="F1213" t="s">
        <v>2772</v>
      </c>
      <c r="G1213" t="str">
        <f>"201511039833"</f>
        <v>201511039833</v>
      </c>
      <c r="H1213">
        <v>36</v>
      </c>
      <c r="I1213">
        <v>0</v>
      </c>
      <c r="L1213">
        <v>4</v>
      </c>
      <c r="M1213">
        <v>4</v>
      </c>
      <c r="N1213">
        <v>4</v>
      </c>
      <c r="O1213">
        <v>0</v>
      </c>
      <c r="P1213">
        <v>44</v>
      </c>
      <c r="Q1213">
        <v>17</v>
      </c>
      <c r="R1213">
        <v>17</v>
      </c>
      <c r="S1213">
        <v>0</v>
      </c>
      <c r="T1213">
        <v>0</v>
      </c>
      <c r="U1213" s="1">
        <v>0</v>
      </c>
      <c r="V1213">
        <v>61</v>
      </c>
    </row>
    <row r="1214" spans="1:22" ht="15">
      <c r="A1214" s="4">
        <v>1207</v>
      </c>
      <c r="B1214">
        <v>3081</v>
      </c>
      <c r="C1214" t="s">
        <v>1005</v>
      </c>
      <c r="D1214" t="s">
        <v>679</v>
      </c>
      <c r="E1214" t="s">
        <v>23</v>
      </c>
      <c r="F1214" t="s">
        <v>2773</v>
      </c>
      <c r="G1214" t="str">
        <f>"201511010277"</f>
        <v>201511010277</v>
      </c>
      <c r="H1214">
        <v>40</v>
      </c>
      <c r="I1214">
        <v>10</v>
      </c>
      <c r="L1214">
        <v>4</v>
      </c>
      <c r="M1214">
        <v>4</v>
      </c>
      <c r="N1214">
        <v>4</v>
      </c>
      <c r="O1214">
        <v>0</v>
      </c>
      <c r="P1214">
        <v>58</v>
      </c>
      <c r="Q1214">
        <v>0</v>
      </c>
      <c r="R1214">
        <v>0</v>
      </c>
      <c r="S1214">
        <v>3</v>
      </c>
      <c r="T1214">
        <v>0</v>
      </c>
      <c r="U1214" s="1">
        <v>0</v>
      </c>
      <c r="V1214">
        <v>61</v>
      </c>
    </row>
    <row r="1215" spans="1:22" ht="15">
      <c r="A1215" s="4">
        <v>1208</v>
      </c>
      <c r="B1215">
        <v>3257</v>
      </c>
      <c r="C1215" t="s">
        <v>2774</v>
      </c>
      <c r="D1215" t="s">
        <v>26</v>
      </c>
      <c r="E1215" t="s">
        <v>19</v>
      </c>
      <c r="F1215" t="s">
        <v>2775</v>
      </c>
      <c r="G1215" t="str">
        <f>"00508839"</f>
        <v>00508839</v>
      </c>
      <c r="H1215">
        <v>20</v>
      </c>
      <c r="I1215">
        <v>0</v>
      </c>
      <c r="M1215">
        <v>4</v>
      </c>
      <c r="N1215">
        <v>0</v>
      </c>
      <c r="O1215">
        <v>0</v>
      </c>
      <c r="P1215">
        <v>24</v>
      </c>
      <c r="Q1215">
        <v>31</v>
      </c>
      <c r="R1215">
        <v>31</v>
      </c>
      <c r="S1215">
        <v>6</v>
      </c>
      <c r="T1215">
        <v>0</v>
      </c>
      <c r="U1215" s="1">
        <v>0</v>
      </c>
      <c r="V1215">
        <v>61</v>
      </c>
    </row>
    <row r="1216" spans="1:22" ht="15">
      <c r="A1216" s="4">
        <v>1209</v>
      </c>
      <c r="B1216">
        <v>1761</v>
      </c>
      <c r="C1216" t="s">
        <v>2776</v>
      </c>
      <c r="D1216" t="s">
        <v>14</v>
      </c>
      <c r="E1216" t="s">
        <v>1497</v>
      </c>
      <c r="F1216" t="s">
        <v>2777</v>
      </c>
      <c r="G1216" t="str">
        <f>"00510748"</f>
        <v>00510748</v>
      </c>
      <c r="H1216">
        <v>34.84</v>
      </c>
      <c r="I1216">
        <v>0</v>
      </c>
      <c r="M1216">
        <v>0</v>
      </c>
      <c r="N1216">
        <v>0</v>
      </c>
      <c r="O1216">
        <v>0</v>
      </c>
      <c r="P1216">
        <v>34.84</v>
      </c>
      <c r="Q1216">
        <v>23</v>
      </c>
      <c r="R1216">
        <v>23</v>
      </c>
      <c r="S1216">
        <v>3</v>
      </c>
      <c r="T1216">
        <v>0</v>
      </c>
      <c r="U1216" s="1">
        <v>0</v>
      </c>
      <c r="V1216">
        <v>60.84</v>
      </c>
    </row>
    <row r="1217" spans="1:22" ht="15">
      <c r="A1217" s="4">
        <v>1210</v>
      </c>
      <c r="B1217">
        <v>2232</v>
      </c>
      <c r="C1217" t="s">
        <v>2315</v>
      </c>
      <c r="D1217" t="s">
        <v>958</v>
      </c>
      <c r="E1217" t="s">
        <v>19</v>
      </c>
      <c r="F1217" t="s">
        <v>2778</v>
      </c>
      <c r="G1217" t="str">
        <f>"00016351"</f>
        <v>00016351</v>
      </c>
      <c r="H1217">
        <v>28.8</v>
      </c>
      <c r="I1217">
        <v>0</v>
      </c>
      <c r="J1217">
        <v>8</v>
      </c>
      <c r="M1217">
        <v>4</v>
      </c>
      <c r="N1217">
        <v>8</v>
      </c>
      <c r="O1217">
        <v>0</v>
      </c>
      <c r="P1217">
        <v>40.8</v>
      </c>
      <c r="Q1217">
        <v>14</v>
      </c>
      <c r="R1217">
        <v>14</v>
      </c>
      <c r="S1217">
        <v>6</v>
      </c>
      <c r="T1217">
        <v>0</v>
      </c>
      <c r="U1217" s="1">
        <v>0</v>
      </c>
      <c r="V1217">
        <v>60.8</v>
      </c>
    </row>
    <row r="1218" spans="1:22" ht="15">
      <c r="A1218" s="4">
        <v>1211</v>
      </c>
      <c r="B1218">
        <v>3388</v>
      </c>
      <c r="C1218" t="s">
        <v>2779</v>
      </c>
      <c r="D1218" t="s">
        <v>102</v>
      </c>
      <c r="E1218" t="s">
        <v>73</v>
      </c>
      <c r="F1218" t="s">
        <v>2780</v>
      </c>
      <c r="G1218" t="str">
        <f>"00079616"</f>
        <v>00079616</v>
      </c>
      <c r="H1218">
        <v>28.8</v>
      </c>
      <c r="I1218">
        <v>0</v>
      </c>
      <c r="L1218">
        <v>4</v>
      </c>
      <c r="M1218">
        <v>4</v>
      </c>
      <c r="N1218">
        <v>4</v>
      </c>
      <c r="O1218">
        <v>0</v>
      </c>
      <c r="P1218">
        <v>36.8</v>
      </c>
      <c r="Q1218">
        <v>24</v>
      </c>
      <c r="R1218">
        <v>24</v>
      </c>
      <c r="S1218">
        <v>0</v>
      </c>
      <c r="T1218">
        <v>0</v>
      </c>
      <c r="U1218" s="1">
        <v>0</v>
      </c>
      <c r="V1218">
        <v>60.8</v>
      </c>
    </row>
    <row r="1219" spans="1:22" ht="15">
      <c r="A1219" s="4">
        <v>1212</v>
      </c>
      <c r="B1219">
        <v>2640</v>
      </c>
      <c r="C1219" t="s">
        <v>2781</v>
      </c>
      <c r="D1219" t="s">
        <v>2782</v>
      </c>
      <c r="E1219" t="s">
        <v>73</v>
      </c>
      <c r="F1219" t="s">
        <v>2783</v>
      </c>
      <c r="G1219" t="str">
        <f>"00298268"</f>
        <v>00298268</v>
      </c>
      <c r="H1219">
        <v>28.8</v>
      </c>
      <c r="I1219">
        <v>10</v>
      </c>
      <c r="J1219">
        <v>8</v>
      </c>
      <c r="L1219">
        <v>4</v>
      </c>
      <c r="M1219">
        <v>4</v>
      </c>
      <c r="N1219">
        <v>12</v>
      </c>
      <c r="O1219">
        <v>0</v>
      </c>
      <c r="P1219">
        <v>54.8</v>
      </c>
      <c r="Q1219">
        <v>6</v>
      </c>
      <c r="R1219">
        <v>6</v>
      </c>
      <c r="S1219">
        <v>0</v>
      </c>
      <c r="T1219">
        <v>0</v>
      </c>
      <c r="U1219" s="1">
        <v>0</v>
      </c>
      <c r="V1219">
        <v>60.8</v>
      </c>
    </row>
    <row r="1220" spans="1:22" ht="15">
      <c r="A1220" s="4">
        <v>1213</v>
      </c>
      <c r="B1220">
        <v>2694</v>
      </c>
      <c r="C1220" t="s">
        <v>2784</v>
      </c>
      <c r="D1220" t="s">
        <v>640</v>
      </c>
      <c r="E1220" t="s">
        <v>23</v>
      </c>
      <c r="F1220" t="s">
        <v>2785</v>
      </c>
      <c r="G1220" t="str">
        <f>"00441546"</f>
        <v>00441546</v>
      </c>
      <c r="H1220">
        <v>31.72</v>
      </c>
      <c r="I1220">
        <v>0</v>
      </c>
      <c r="M1220">
        <v>0</v>
      </c>
      <c r="N1220">
        <v>0</v>
      </c>
      <c r="O1220">
        <v>0</v>
      </c>
      <c r="P1220">
        <v>31.72</v>
      </c>
      <c r="Q1220">
        <v>29</v>
      </c>
      <c r="R1220">
        <v>29</v>
      </c>
      <c r="S1220">
        <v>0</v>
      </c>
      <c r="T1220">
        <v>0</v>
      </c>
      <c r="U1220" s="1">
        <v>0</v>
      </c>
      <c r="V1220">
        <v>60.72</v>
      </c>
    </row>
    <row r="1221" spans="1:22" ht="15">
      <c r="A1221" s="4">
        <v>1214</v>
      </c>
      <c r="B1221">
        <v>1293</v>
      </c>
      <c r="C1221" t="s">
        <v>2786</v>
      </c>
      <c r="D1221" t="s">
        <v>179</v>
      </c>
      <c r="E1221" t="s">
        <v>83</v>
      </c>
      <c r="F1221" t="s">
        <v>2787</v>
      </c>
      <c r="G1221" t="str">
        <f>"00253218"</f>
        <v>00253218</v>
      </c>
      <c r="H1221">
        <v>36.72</v>
      </c>
      <c r="I1221">
        <v>10</v>
      </c>
      <c r="M1221">
        <v>0</v>
      </c>
      <c r="N1221">
        <v>0</v>
      </c>
      <c r="O1221">
        <v>0</v>
      </c>
      <c r="P1221">
        <v>46.72</v>
      </c>
      <c r="Q1221">
        <v>14</v>
      </c>
      <c r="R1221">
        <v>14</v>
      </c>
      <c r="S1221">
        <v>0</v>
      </c>
      <c r="T1221">
        <v>0</v>
      </c>
      <c r="U1221" s="1">
        <v>0</v>
      </c>
      <c r="V1221">
        <v>60.72</v>
      </c>
    </row>
    <row r="1222" spans="1:22" ht="15">
      <c r="A1222" s="4">
        <v>1215</v>
      </c>
      <c r="B1222">
        <v>1206</v>
      </c>
      <c r="C1222" t="s">
        <v>2788</v>
      </c>
      <c r="D1222" t="s">
        <v>211</v>
      </c>
      <c r="E1222" t="s">
        <v>30</v>
      </c>
      <c r="F1222" t="s">
        <v>2789</v>
      </c>
      <c r="G1222" t="str">
        <f>"201511029802"</f>
        <v>201511029802</v>
      </c>
      <c r="H1222">
        <v>21.6</v>
      </c>
      <c r="I1222">
        <v>0</v>
      </c>
      <c r="L1222">
        <v>4</v>
      </c>
      <c r="M1222">
        <v>4</v>
      </c>
      <c r="N1222">
        <v>4</v>
      </c>
      <c r="O1222">
        <v>0</v>
      </c>
      <c r="P1222">
        <v>29.6</v>
      </c>
      <c r="Q1222">
        <v>31</v>
      </c>
      <c r="R1222">
        <v>31</v>
      </c>
      <c r="S1222">
        <v>0</v>
      </c>
      <c r="T1222">
        <v>0</v>
      </c>
      <c r="U1222" s="1">
        <v>0</v>
      </c>
      <c r="V1222">
        <v>60.6</v>
      </c>
    </row>
    <row r="1223" spans="1:22" ht="15">
      <c r="A1223" s="4">
        <v>1216</v>
      </c>
      <c r="B1223">
        <v>3322</v>
      </c>
      <c r="C1223" t="s">
        <v>2790</v>
      </c>
      <c r="D1223" t="s">
        <v>2791</v>
      </c>
      <c r="E1223" t="s">
        <v>1343</v>
      </c>
      <c r="F1223" t="s">
        <v>2792</v>
      </c>
      <c r="G1223" t="str">
        <f>"00533064"</f>
        <v>00533064</v>
      </c>
      <c r="H1223">
        <v>57.6</v>
      </c>
      <c r="I1223">
        <v>0</v>
      </c>
      <c r="M1223">
        <v>0</v>
      </c>
      <c r="N1223">
        <v>0</v>
      </c>
      <c r="O1223">
        <v>0</v>
      </c>
      <c r="P1223">
        <v>57.6</v>
      </c>
      <c r="Q1223">
        <v>0</v>
      </c>
      <c r="R1223">
        <v>0</v>
      </c>
      <c r="S1223">
        <v>3</v>
      </c>
      <c r="T1223">
        <v>0</v>
      </c>
      <c r="U1223" s="1">
        <v>0</v>
      </c>
      <c r="V1223">
        <v>60.6</v>
      </c>
    </row>
    <row r="1224" spans="1:22" ht="15">
      <c r="A1224" s="4">
        <v>1217</v>
      </c>
      <c r="B1224">
        <v>429</v>
      </c>
      <c r="C1224" t="s">
        <v>2793</v>
      </c>
      <c r="D1224" t="s">
        <v>121</v>
      </c>
      <c r="E1224" t="s">
        <v>23</v>
      </c>
      <c r="F1224" t="s">
        <v>2794</v>
      </c>
      <c r="G1224" t="str">
        <f>"00478745"</f>
        <v>00478745</v>
      </c>
      <c r="H1224">
        <v>21.6</v>
      </c>
      <c r="I1224">
        <v>0</v>
      </c>
      <c r="L1224">
        <v>4</v>
      </c>
      <c r="M1224">
        <v>4</v>
      </c>
      <c r="N1224">
        <v>4</v>
      </c>
      <c r="O1224">
        <v>0</v>
      </c>
      <c r="P1224">
        <v>29.6</v>
      </c>
      <c r="Q1224">
        <v>31</v>
      </c>
      <c r="R1224">
        <v>31</v>
      </c>
      <c r="S1224">
        <v>0</v>
      </c>
      <c r="T1224">
        <v>0</v>
      </c>
      <c r="U1224" s="1">
        <v>0</v>
      </c>
      <c r="V1224">
        <v>60.6</v>
      </c>
    </row>
    <row r="1225" spans="1:22" ht="15">
      <c r="A1225" s="4">
        <v>1218</v>
      </c>
      <c r="B1225">
        <v>2780</v>
      </c>
      <c r="C1225" t="s">
        <v>1960</v>
      </c>
      <c r="D1225" t="s">
        <v>485</v>
      </c>
      <c r="E1225" t="s">
        <v>11</v>
      </c>
      <c r="F1225" t="s">
        <v>2795</v>
      </c>
      <c r="G1225" t="str">
        <f>"00520492"</f>
        <v>00520492</v>
      </c>
      <c r="H1225">
        <v>21.6</v>
      </c>
      <c r="I1225">
        <v>0</v>
      </c>
      <c r="M1225">
        <v>4</v>
      </c>
      <c r="N1225">
        <v>0</v>
      </c>
      <c r="O1225">
        <v>0</v>
      </c>
      <c r="P1225">
        <v>25.6</v>
      </c>
      <c r="Q1225">
        <v>29</v>
      </c>
      <c r="R1225">
        <v>29</v>
      </c>
      <c r="S1225">
        <v>6</v>
      </c>
      <c r="T1225">
        <v>0</v>
      </c>
      <c r="U1225" s="1">
        <v>0</v>
      </c>
      <c r="V1225">
        <v>60.6</v>
      </c>
    </row>
    <row r="1226" spans="1:22" ht="15">
      <c r="A1226" s="4">
        <v>1219</v>
      </c>
      <c r="B1226">
        <v>1818</v>
      </c>
      <c r="C1226" t="s">
        <v>2796</v>
      </c>
      <c r="D1226" t="s">
        <v>14</v>
      </c>
      <c r="E1226" t="s">
        <v>2797</v>
      </c>
      <c r="F1226" t="s">
        <v>2798</v>
      </c>
      <c r="G1226" t="str">
        <f>"00514814"</f>
        <v>00514814</v>
      </c>
      <c r="H1226">
        <v>39.56</v>
      </c>
      <c r="I1226">
        <v>0</v>
      </c>
      <c r="M1226">
        <v>4</v>
      </c>
      <c r="N1226">
        <v>0</v>
      </c>
      <c r="O1226">
        <v>0</v>
      </c>
      <c r="P1226">
        <v>43.56</v>
      </c>
      <c r="Q1226">
        <v>8</v>
      </c>
      <c r="R1226">
        <v>8</v>
      </c>
      <c r="S1226">
        <v>9</v>
      </c>
      <c r="T1226">
        <v>0</v>
      </c>
      <c r="U1226" s="1">
        <v>0</v>
      </c>
      <c r="V1226">
        <v>60.56</v>
      </c>
    </row>
    <row r="1227" spans="1:22" ht="15">
      <c r="A1227" s="4">
        <v>1220</v>
      </c>
      <c r="B1227">
        <v>2522</v>
      </c>
      <c r="C1227" t="s">
        <v>2799</v>
      </c>
      <c r="D1227" t="s">
        <v>89</v>
      </c>
      <c r="E1227" t="s">
        <v>327</v>
      </c>
      <c r="F1227" t="s">
        <v>2800</v>
      </c>
      <c r="G1227" t="str">
        <f>"00290002"</f>
        <v>00290002</v>
      </c>
      <c r="H1227">
        <v>22.56</v>
      </c>
      <c r="I1227">
        <v>0</v>
      </c>
      <c r="M1227">
        <v>0</v>
      </c>
      <c r="N1227">
        <v>0</v>
      </c>
      <c r="O1227">
        <v>0</v>
      </c>
      <c r="P1227">
        <v>22.56</v>
      </c>
      <c r="Q1227">
        <v>29</v>
      </c>
      <c r="R1227">
        <v>29</v>
      </c>
      <c r="S1227">
        <v>9</v>
      </c>
      <c r="T1227">
        <v>0</v>
      </c>
      <c r="U1227" s="1">
        <v>0</v>
      </c>
      <c r="V1227">
        <v>60.56</v>
      </c>
    </row>
    <row r="1228" spans="1:22" ht="15">
      <c r="A1228" s="4">
        <v>1221</v>
      </c>
      <c r="B1228">
        <v>4</v>
      </c>
      <c r="C1228" t="s">
        <v>2801</v>
      </c>
      <c r="D1228" t="s">
        <v>23</v>
      </c>
      <c r="E1228" t="s">
        <v>2802</v>
      </c>
      <c r="F1228" t="s">
        <v>2803</v>
      </c>
      <c r="G1228" t="str">
        <f>"00073295"</f>
        <v>00073295</v>
      </c>
      <c r="H1228">
        <v>35.56</v>
      </c>
      <c r="I1228">
        <v>10</v>
      </c>
      <c r="J1228">
        <v>8</v>
      </c>
      <c r="M1228">
        <v>4</v>
      </c>
      <c r="N1228">
        <v>8</v>
      </c>
      <c r="O1228">
        <v>0</v>
      </c>
      <c r="P1228">
        <v>57.56</v>
      </c>
      <c r="Q1228">
        <v>0</v>
      </c>
      <c r="R1228">
        <v>0</v>
      </c>
      <c r="S1228">
        <v>3</v>
      </c>
      <c r="T1228">
        <v>0</v>
      </c>
      <c r="U1228" s="1">
        <v>0</v>
      </c>
      <c r="V1228">
        <v>60.56</v>
      </c>
    </row>
    <row r="1229" spans="1:22" ht="15">
      <c r="A1229" s="4">
        <v>1222</v>
      </c>
      <c r="B1229">
        <v>208</v>
      </c>
      <c r="C1229" t="s">
        <v>289</v>
      </c>
      <c r="D1229" t="s">
        <v>40</v>
      </c>
      <c r="E1229" t="s">
        <v>15</v>
      </c>
      <c r="F1229" t="s">
        <v>2804</v>
      </c>
      <c r="G1229" t="str">
        <f>"00531028"</f>
        <v>00531028</v>
      </c>
      <c r="H1229">
        <v>39.56</v>
      </c>
      <c r="I1229">
        <v>0</v>
      </c>
      <c r="M1229">
        <v>0</v>
      </c>
      <c r="N1229">
        <v>0</v>
      </c>
      <c r="O1229">
        <v>2</v>
      </c>
      <c r="P1229">
        <v>41.56</v>
      </c>
      <c r="Q1229">
        <v>19</v>
      </c>
      <c r="R1229">
        <v>19</v>
      </c>
      <c r="S1229">
        <v>0</v>
      </c>
      <c r="T1229">
        <v>0</v>
      </c>
      <c r="U1229" s="1">
        <v>0</v>
      </c>
      <c r="V1229">
        <v>60.56</v>
      </c>
    </row>
    <row r="1230" spans="1:22" ht="15">
      <c r="A1230" s="4">
        <v>1223</v>
      </c>
      <c r="B1230">
        <v>2831</v>
      </c>
      <c r="C1230" t="s">
        <v>2805</v>
      </c>
      <c r="D1230" t="s">
        <v>50</v>
      </c>
      <c r="E1230" t="s">
        <v>41</v>
      </c>
      <c r="F1230" t="s">
        <v>2806</v>
      </c>
      <c r="G1230" t="str">
        <f>"00528515"</f>
        <v>00528515</v>
      </c>
      <c r="H1230">
        <v>50.4</v>
      </c>
      <c r="I1230">
        <v>0</v>
      </c>
      <c r="M1230">
        <v>4</v>
      </c>
      <c r="N1230">
        <v>0</v>
      </c>
      <c r="O1230">
        <v>0</v>
      </c>
      <c r="P1230">
        <v>54.4</v>
      </c>
      <c r="Q1230">
        <v>0</v>
      </c>
      <c r="R1230">
        <v>0</v>
      </c>
      <c r="S1230">
        <v>6</v>
      </c>
      <c r="T1230">
        <v>0</v>
      </c>
      <c r="U1230" s="1">
        <v>0</v>
      </c>
      <c r="V1230">
        <v>60.4</v>
      </c>
    </row>
    <row r="1231" spans="1:22" ht="15">
      <c r="A1231" s="4">
        <v>1224</v>
      </c>
      <c r="B1231">
        <v>1093</v>
      </c>
      <c r="C1231" t="s">
        <v>2807</v>
      </c>
      <c r="D1231" t="s">
        <v>643</v>
      </c>
      <c r="E1231" t="s">
        <v>59</v>
      </c>
      <c r="F1231" t="s">
        <v>2808</v>
      </c>
      <c r="G1231" t="str">
        <f>"00519175"</f>
        <v>00519175</v>
      </c>
      <c r="H1231">
        <v>50.4</v>
      </c>
      <c r="I1231">
        <v>0</v>
      </c>
      <c r="K1231">
        <v>6</v>
      </c>
      <c r="M1231">
        <v>0</v>
      </c>
      <c r="N1231">
        <v>6</v>
      </c>
      <c r="O1231">
        <v>0</v>
      </c>
      <c r="P1231">
        <v>56.4</v>
      </c>
      <c r="Q1231">
        <v>4</v>
      </c>
      <c r="R1231">
        <v>4</v>
      </c>
      <c r="S1231">
        <v>0</v>
      </c>
      <c r="T1231">
        <v>0</v>
      </c>
      <c r="U1231" s="1">
        <v>0</v>
      </c>
      <c r="V1231">
        <v>60.4</v>
      </c>
    </row>
    <row r="1232" spans="1:22" ht="15">
      <c r="A1232" s="4">
        <v>1225</v>
      </c>
      <c r="B1232">
        <v>924</v>
      </c>
      <c r="C1232" t="s">
        <v>2809</v>
      </c>
      <c r="D1232" t="s">
        <v>2810</v>
      </c>
      <c r="E1232" t="s">
        <v>19</v>
      </c>
      <c r="F1232" t="s">
        <v>2811</v>
      </c>
      <c r="G1232" t="str">
        <f>"00526151"</f>
        <v>00526151</v>
      </c>
      <c r="H1232">
        <v>50.4</v>
      </c>
      <c r="I1232">
        <v>0</v>
      </c>
      <c r="M1232">
        <v>4</v>
      </c>
      <c r="N1232">
        <v>0</v>
      </c>
      <c r="O1232">
        <v>0</v>
      </c>
      <c r="P1232">
        <v>54.4</v>
      </c>
      <c r="Q1232">
        <v>0</v>
      </c>
      <c r="R1232">
        <v>0</v>
      </c>
      <c r="S1232">
        <v>6</v>
      </c>
      <c r="T1232">
        <v>0</v>
      </c>
      <c r="U1232" s="1">
        <v>0</v>
      </c>
      <c r="V1232">
        <v>60.4</v>
      </c>
    </row>
    <row r="1233" spans="1:22" ht="15">
      <c r="A1233" s="4">
        <v>1226</v>
      </c>
      <c r="B1233">
        <v>2653</v>
      </c>
      <c r="C1233" t="s">
        <v>2812</v>
      </c>
      <c r="D1233" t="s">
        <v>76</v>
      </c>
      <c r="E1233" t="s">
        <v>317</v>
      </c>
      <c r="F1233" t="s">
        <v>2813</v>
      </c>
      <c r="G1233" t="str">
        <f>"00531921"</f>
        <v>00531921</v>
      </c>
      <c r="H1233">
        <v>50.4</v>
      </c>
      <c r="I1233">
        <v>10</v>
      </c>
      <c r="M1233">
        <v>0</v>
      </c>
      <c r="N1233">
        <v>0</v>
      </c>
      <c r="O1233">
        <v>0</v>
      </c>
      <c r="P1233">
        <v>60.4</v>
      </c>
      <c r="Q1233">
        <v>0</v>
      </c>
      <c r="R1233">
        <v>0</v>
      </c>
      <c r="S1233">
        <v>0</v>
      </c>
      <c r="T1233">
        <v>0</v>
      </c>
      <c r="U1233" s="1">
        <v>0</v>
      </c>
      <c r="V1233">
        <v>60.4</v>
      </c>
    </row>
    <row r="1234" spans="1:22" ht="15">
      <c r="A1234" s="4">
        <v>1227</v>
      </c>
      <c r="B1234">
        <v>3288</v>
      </c>
      <c r="C1234" t="s">
        <v>2814</v>
      </c>
      <c r="D1234" t="s">
        <v>14</v>
      </c>
      <c r="E1234" t="s">
        <v>2815</v>
      </c>
      <c r="F1234" t="s">
        <v>2816</v>
      </c>
      <c r="G1234" t="str">
        <f>"00504295"</f>
        <v>00504295</v>
      </c>
      <c r="H1234">
        <v>37.32</v>
      </c>
      <c r="I1234">
        <v>0</v>
      </c>
      <c r="M1234">
        <v>4</v>
      </c>
      <c r="N1234">
        <v>0</v>
      </c>
      <c r="O1234">
        <v>0</v>
      </c>
      <c r="P1234">
        <v>41.32</v>
      </c>
      <c r="Q1234">
        <v>13</v>
      </c>
      <c r="R1234">
        <v>13</v>
      </c>
      <c r="S1234">
        <v>6</v>
      </c>
      <c r="T1234">
        <v>0</v>
      </c>
      <c r="U1234" s="1">
        <v>0</v>
      </c>
      <c r="V1234">
        <v>60.32</v>
      </c>
    </row>
    <row r="1235" spans="1:22" ht="15">
      <c r="A1235" s="4">
        <v>1228</v>
      </c>
      <c r="B1235">
        <v>1474</v>
      </c>
      <c r="C1235" t="s">
        <v>2817</v>
      </c>
      <c r="D1235" t="s">
        <v>2818</v>
      </c>
      <c r="E1235" t="s">
        <v>499</v>
      </c>
      <c r="F1235" t="s">
        <v>2819</v>
      </c>
      <c r="G1235" t="str">
        <f>"00527220"</f>
        <v>00527220</v>
      </c>
      <c r="H1235">
        <v>43.2</v>
      </c>
      <c r="I1235">
        <v>10</v>
      </c>
      <c r="M1235">
        <v>4</v>
      </c>
      <c r="N1235">
        <v>0</v>
      </c>
      <c r="O1235">
        <v>0</v>
      </c>
      <c r="P1235">
        <v>57.2</v>
      </c>
      <c r="Q1235">
        <v>0</v>
      </c>
      <c r="R1235">
        <v>0</v>
      </c>
      <c r="S1235">
        <v>3</v>
      </c>
      <c r="T1235">
        <v>0</v>
      </c>
      <c r="U1235" s="1">
        <v>0</v>
      </c>
      <c r="V1235">
        <v>60.2</v>
      </c>
    </row>
    <row r="1236" spans="1:22" ht="15">
      <c r="A1236" s="4">
        <v>1229</v>
      </c>
      <c r="B1236">
        <v>1265</v>
      </c>
      <c r="C1236" t="s">
        <v>2820</v>
      </c>
      <c r="D1236" t="s">
        <v>2821</v>
      </c>
      <c r="E1236" t="s">
        <v>73</v>
      </c>
      <c r="F1236" t="s">
        <v>2822</v>
      </c>
      <c r="G1236" t="str">
        <f>"00479902"</f>
        <v>00479902</v>
      </c>
      <c r="H1236">
        <v>43.2</v>
      </c>
      <c r="I1236">
        <v>0</v>
      </c>
      <c r="L1236">
        <v>4</v>
      </c>
      <c r="M1236">
        <v>4</v>
      </c>
      <c r="N1236">
        <v>4</v>
      </c>
      <c r="O1236">
        <v>2</v>
      </c>
      <c r="P1236">
        <v>53.2</v>
      </c>
      <c r="Q1236">
        <v>7</v>
      </c>
      <c r="R1236">
        <v>7</v>
      </c>
      <c r="S1236">
        <v>0</v>
      </c>
      <c r="T1236">
        <v>0</v>
      </c>
      <c r="U1236" s="1">
        <v>0</v>
      </c>
      <c r="V1236">
        <v>60.2</v>
      </c>
    </row>
    <row r="1237" spans="1:22" ht="15">
      <c r="A1237" s="4">
        <v>1230</v>
      </c>
      <c r="B1237">
        <v>1282</v>
      </c>
      <c r="C1237" t="s">
        <v>2823</v>
      </c>
      <c r="D1237" t="s">
        <v>89</v>
      </c>
      <c r="E1237" t="s">
        <v>327</v>
      </c>
      <c r="F1237" t="s">
        <v>2824</v>
      </c>
      <c r="G1237" t="str">
        <f>"00518519"</f>
        <v>00518519</v>
      </c>
      <c r="H1237">
        <v>43.2</v>
      </c>
      <c r="I1237">
        <v>0</v>
      </c>
      <c r="J1237">
        <v>8</v>
      </c>
      <c r="M1237">
        <v>0</v>
      </c>
      <c r="N1237">
        <v>8</v>
      </c>
      <c r="O1237">
        <v>0</v>
      </c>
      <c r="P1237">
        <v>51.2</v>
      </c>
      <c r="Q1237">
        <v>0</v>
      </c>
      <c r="R1237">
        <v>0</v>
      </c>
      <c r="S1237">
        <v>9</v>
      </c>
      <c r="T1237">
        <v>0</v>
      </c>
      <c r="U1237" s="1">
        <v>0</v>
      </c>
      <c r="V1237">
        <v>60.2</v>
      </c>
    </row>
    <row r="1238" spans="1:22" ht="15">
      <c r="A1238" s="4">
        <v>1231</v>
      </c>
      <c r="B1238">
        <v>1364</v>
      </c>
      <c r="C1238" t="s">
        <v>2825</v>
      </c>
      <c r="D1238" t="s">
        <v>1744</v>
      </c>
      <c r="E1238" t="s">
        <v>712</v>
      </c>
      <c r="F1238" t="s">
        <v>2826</v>
      </c>
      <c r="G1238" t="str">
        <f>"201003000174"</f>
        <v>201003000174</v>
      </c>
      <c r="H1238">
        <v>43.2</v>
      </c>
      <c r="I1238">
        <v>10</v>
      </c>
      <c r="M1238">
        <v>0</v>
      </c>
      <c r="N1238">
        <v>0</v>
      </c>
      <c r="O1238">
        <v>0</v>
      </c>
      <c r="P1238">
        <v>53.2</v>
      </c>
      <c r="Q1238">
        <v>7</v>
      </c>
      <c r="R1238">
        <v>7</v>
      </c>
      <c r="S1238">
        <v>0</v>
      </c>
      <c r="T1238">
        <v>0</v>
      </c>
      <c r="U1238" s="1">
        <v>0</v>
      </c>
      <c r="V1238">
        <v>60.2</v>
      </c>
    </row>
    <row r="1239" spans="1:22" ht="15">
      <c r="A1239" s="4">
        <v>1232</v>
      </c>
      <c r="B1239">
        <v>1285</v>
      </c>
      <c r="C1239" t="s">
        <v>2827</v>
      </c>
      <c r="D1239" t="s">
        <v>582</v>
      </c>
      <c r="E1239" t="s">
        <v>19</v>
      </c>
      <c r="F1239" t="s">
        <v>2828</v>
      </c>
      <c r="G1239" t="str">
        <f>"00506828"</f>
        <v>00506828</v>
      </c>
      <c r="H1239">
        <v>43.2</v>
      </c>
      <c r="I1239">
        <v>0</v>
      </c>
      <c r="M1239">
        <v>0</v>
      </c>
      <c r="N1239">
        <v>0</v>
      </c>
      <c r="O1239">
        <v>0</v>
      </c>
      <c r="P1239">
        <v>43.2</v>
      </c>
      <c r="Q1239">
        <v>17</v>
      </c>
      <c r="R1239">
        <v>17</v>
      </c>
      <c r="S1239">
        <v>0</v>
      </c>
      <c r="T1239">
        <v>0</v>
      </c>
      <c r="U1239" s="1">
        <v>0</v>
      </c>
      <c r="V1239">
        <v>60.2</v>
      </c>
    </row>
    <row r="1240" spans="1:22" ht="15">
      <c r="A1240" s="4">
        <v>1233</v>
      </c>
      <c r="B1240">
        <v>1991</v>
      </c>
      <c r="C1240" t="s">
        <v>1182</v>
      </c>
      <c r="D1240" t="s">
        <v>1466</v>
      </c>
      <c r="E1240" t="s">
        <v>73</v>
      </c>
      <c r="F1240" t="s">
        <v>2829</v>
      </c>
      <c r="G1240" t="str">
        <f>"00173594"</f>
        <v>00173594</v>
      </c>
      <c r="H1240">
        <v>43.2</v>
      </c>
      <c r="I1240">
        <v>0</v>
      </c>
      <c r="M1240">
        <v>4</v>
      </c>
      <c r="N1240">
        <v>0</v>
      </c>
      <c r="O1240">
        <v>0</v>
      </c>
      <c r="P1240">
        <v>47.2</v>
      </c>
      <c r="Q1240">
        <v>7</v>
      </c>
      <c r="R1240">
        <v>7</v>
      </c>
      <c r="S1240">
        <v>6</v>
      </c>
      <c r="T1240">
        <v>0</v>
      </c>
      <c r="U1240" s="1">
        <v>0</v>
      </c>
      <c r="V1240">
        <v>60.2</v>
      </c>
    </row>
    <row r="1241" spans="1:22" ht="15">
      <c r="A1241" s="4">
        <v>1234</v>
      </c>
      <c r="B1241">
        <v>448</v>
      </c>
      <c r="C1241" t="s">
        <v>2830</v>
      </c>
      <c r="D1241" t="s">
        <v>2831</v>
      </c>
      <c r="E1241" t="s">
        <v>11</v>
      </c>
      <c r="F1241" t="s">
        <v>2832</v>
      </c>
      <c r="G1241" t="str">
        <f>"00512216"</f>
        <v>00512216</v>
      </c>
      <c r="H1241">
        <v>33.16</v>
      </c>
      <c r="I1241">
        <v>0</v>
      </c>
      <c r="M1241">
        <v>4</v>
      </c>
      <c r="N1241">
        <v>0</v>
      </c>
      <c r="O1241">
        <v>0</v>
      </c>
      <c r="P1241">
        <v>37.16</v>
      </c>
      <c r="Q1241">
        <v>23</v>
      </c>
      <c r="R1241">
        <v>23</v>
      </c>
      <c r="S1241">
        <v>0</v>
      </c>
      <c r="T1241">
        <v>0</v>
      </c>
      <c r="U1241" s="1">
        <v>0</v>
      </c>
      <c r="V1241">
        <v>60.16</v>
      </c>
    </row>
    <row r="1242" spans="1:22" ht="15">
      <c r="A1242" s="4">
        <v>1235</v>
      </c>
      <c r="B1242">
        <v>3420</v>
      </c>
      <c r="C1242" t="s">
        <v>2833</v>
      </c>
      <c r="D1242" t="s">
        <v>211</v>
      </c>
      <c r="E1242" t="s">
        <v>1613</v>
      </c>
      <c r="F1242" t="s">
        <v>2834</v>
      </c>
      <c r="G1242" t="str">
        <f>"00524055"</f>
        <v>00524055</v>
      </c>
      <c r="H1242">
        <v>40</v>
      </c>
      <c r="I1242">
        <v>10</v>
      </c>
      <c r="M1242">
        <v>4</v>
      </c>
      <c r="N1242">
        <v>0</v>
      </c>
      <c r="O1242">
        <v>0</v>
      </c>
      <c r="P1242">
        <v>54</v>
      </c>
      <c r="Q1242">
        <v>0</v>
      </c>
      <c r="R1242">
        <v>0</v>
      </c>
      <c r="S1242">
        <v>6</v>
      </c>
      <c r="T1242">
        <v>0</v>
      </c>
      <c r="U1242" s="1">
        <v>0</v>
      </c>
      <c r="V1242">
        <v>60</v>
      </c>
    </row>
    <row r="1243" spans="1:22" ht="15">
      <c r="A1243" s="4">
        <v>1236</v>
      </c>
      <c r="B1243">
        <v>2357</v>
      </c>
      <c r="C1243" t="s">
        <v>2835</v>
      </c>
      <c r="D1243" t="s">
        <v>76</v>
      </c>
      <c r="E1243" t="s">
        <v>30</v>
      </c>
      <c r="F1243" t="s">
        <v>2836</v>
      </c>
      <c r="G1243" t="str">
        <f>"00533611"</f>
        <v>00533611</v>
      </c>
      <c r="H1243">
        <v>36</v>
      </c>
      <c r="I1243">
        <v>10</v>
      </c>
      <c r="L1243">
        <v>8</v>
      </c>
      <c r="M1243">
        <v>4</v>
      </c>
      <c r="N1243">
        <v>8</v>
      </c>
      <c r="O1243">
        <v>2</v>
      </c>
      <c r="P1243">
        <v>60</v>
      </c>
      <c r="Q1243">
        <v>0</v>
      </c>
      <c r="R1243">
        <v>0</v>
      </c>
      <c r="S1243">
        <v>0</v>
      </c>
      <c r="T1243">
        <v>0</v>
      </c>
      <c r="U1243" s="1">
        <v>0</v>
      </c>
      <c r="V1243">
        <v>60</v>
      </c>
    </row>
    <row r="1244" spans="1:22" ht="15">
      <c r="A1244" s="4">
        <v>1237</v>
      </c>
      <c r="B1244">
        <v>499</v>
      </c>
      <c r="C1244" t="s">
        <v>2837</v>
      </c>
      <c r="D1244" t="s">
        <v>582</v>
      </c>
      <c r="E1244" t="s">
        <v>225</v>
      </c>
      <c r="F1244" t="s">
        <v>2838</v>
      </c>
      <c r="G1244" t="str">
        <f>"201511006984"</f>
        <v>201511006984</v>
      </c>
      <c r="H1244">
        <v>28.8</v>
      </c>
      <c r="I1244">
        <v>0</v>
      </c>
      <c r="L1244">
        <v>4</v>
      </c>
      <c r="M1244">
        <v>4</v>
      </c>
      <c r="N1244">
        <v>4</v>
      </c>
      <c r="O1244">
        <v>0</v>
      </c>
      <c r="P1244">
        <v>36.8</v>
      </c>
      <c r="Q1244">
        <v>17</v>
      </c>
      <c r="R1244">
        <v>17</v>
      </c>
      <c r="S1244">
        <v>6</v>
      </c>
      <c r="T1244">
        <v>0</v>
      </c>
      <c r="U1244" s="1">
        <v>0</v>
      </c>
      <c r="V1244">
        <v>59.8</v>
      </c>
    </row>
    <row r="1245" spans="1:22" ht="15">
      <c r="A1245" s="4">
        <v>1238</v>
      </c>
      <c r="B1245">
        <v>392</v>
      </c>
      <c r="C1245" t="s">
        <v>2839</v>
      </c>
      <c r="D1245" t="s">
        <v>89</v>
      </c>
      <c r="E1245" t="s">
        <v>190</v>
      </c>
      <c r="F1245" t="s">
        <v>2840</v>
      </c>
      <c r="G1245" t="str">
        <f>"00530744"</f>
        <v>00530744</v>
      </c>
      <c r="H1245">
        <v>28.8</v>
      </c>
      <c r="I1245">
        <v>0</v>
      </c>
      <c r="M1245">
        <v>0</v>
      </c>
      <c r="N1245">
        <v>0</v>
      </c>
      <c r="O1245">
        <v>0</v>
      </c>
      <c r="P1245">
        <v>28.8</v>
      </c>
      <c r="Q1245">
        <v>31</v>
      </c>
      <c r="R1245">
        <v>31</v>
      </c>
      <c r="S1245">
        <v>0</v>
      </c>
      <c r="T1245">
        <v>0</v>
      </c>
      <c r="U1245" s="1">
        <v>0</v>
      </c>
      <c r="V1245">
        <v>59.8</v>
      </c>
    </row>
    <row r="1246" spans="1:22" ht="15">
      <c r="A1246" s="4">
        <v>1239</v>
      </c>
      <c r="B1246">
        <v>2543</v>
      </c>
      <c r="C1246" t="s">
        <v>2841</v>
      </c>
      <c r="D1246" t="s">
        <v>333</v>
      </c>
      <c r="E1246" t="s">
        <v>86</v>
      </c>
      <c r="F1246" t="s">
        <v>2842</v>
      </c>
      <c r="G1246" t="str">
        <f>"00532331"</f>
        <v>00532331</v>
      </c>
      <c r="H1246">
        <v>28.8</v>
      </c>
      <c r="I1246">
        <v>0</v>
      </c>
      <c r="M1246">
        <v>0</v>
      </c>
      <c r="N1246">
        <v>0</v>
      </c>
      <c r="O1246">
        <v>0</v>
      </c>
      <c r="P1246">
        <v>28.8</v>
      </c>
      <c r="Q1246">
        <v>31</v>
      </c>
      <c r="R1246">
        <v>31</v>
      </c>
      <c r="S1246">
        <v>0</v>
      </c>
      <c r="T1246">
        <v>0</v>
      </c>
      <c r="U1246" s="1">
        <v>0</v>
      </c>
      <c r="V1246">
        <v>59.8</v>
      </c>
    </row>
    <row r="1247" spans="1:22" ht="15">
      <c r="A1247" s="4">
        <v>1240</v>
      </c>
      <c r="B1247">
        <v>29</v>
      </c>
      <c r="C1247" t="s">
        <v>2843</v>
      </c>
      <c r="D1247" t="s">
        <v>14</v>
      </c>
      <c r="E1247" t="s">
        <v>90</v>
      </c>
      <c r="F1247" t="s">
        <v>2844</v>
      </c>
      <c r="G1247" t="str">
        <f>"00494488"</f>
        <v>00494488</v>
      </c>
      <c r="H1247">
        <v>28.8</v>
      </c>
      <c r="I1247">
        <v>0</v>
      </c>
      <c r="L1247">
        <v>4</v>
      </c>
      <c r="M1247">
        <v>4</v>
      </c>
      <c r="N1247">
        <v>4</v>
      </c>
      <c r="O1247">
        <v>2</v>
      </c>
      <c r="P1247">
        <v>38.8</v>
      </c>
      <c r="Q1247">
        <v>21</v>
      </c>
      <c r="R1247">
        <v>21</v>
      </c>
      <c r="S1247">
        <v>0</v>
      </c>
      <c r="T1247">
        <v>0</v>
      </c>
      <c r="U1247" s="1">
        <v>0</v>
      </c>
      <c r="V1247">
        <v>59.8</v>
      </c>
    </row>
    <row r="1248" spans="1:22" ht="15">
      <c r="A1248" s="4">
        <v>1241</v>
      </c>
      <c r="B1248">
        <v>1290</v>
      </c>
      <c r="C1248" t="s">
        <v>2845</v>
      </c>
      <c r="D1248" t="s">
        <v>2165</v>
      </c>
      <c r="E1248" t="s">
        <v>2846</v>
      </c>
      <c r="F1248" t="s">
        <v>2847</v>
      </c>
      <c r="G1248" t="str">
        <f>"00483568"</f>
        <v>00483568</v>
      </c>
      <c r="H1248">
        <v>37.76</v>
      </c>
      <c r="I1248">
        <v>0</v>
      </c>
      <c r="M1248">
        <v>4</v>
      </c>
      <c r="N1248">
        <v>0</v>
      </c>
      <c r="O1248">
        <v>0</v>
      </c>
      <c r="P1248">
        <v>41.76</v>
      </c>
      <c r="Q1248">
        <v>12</v>
      </c>
      <c r="R1248">
        <v>12</v>
      </c>
      <c r="S1248">
        <v>6</v>
      </c>
      <c r="T1248">
        <v>0</v>
      </c>
      <c r="U1248" s="1">
        <v>0</v>
      </c>
      <c r="V1248">
        <v>59.76</v>
      </c>
    </row>
    <row r="1249" spans="1:22" ht="15">
      <c r="A1249" s="4">
        <v>1242</v>
      </c>
      <c r="B1249">
        <v>473</v>
      </c>
      <c r="C1249" t="s">
        <v>2848</v>
      </c>
      <c r="D1249" t="s">
        <v>333</v>
      </c>
      <c r="E1249" t="s">
        <v>55</v>
      </c>
      <c r="F1249" t="s">
        <v>2849</v>
      </c>
      <c r="G1249" t="str">
        <f>"00500775"</f>
        <v>00500775</v>
      </c>
      <c r="H1249">
        <v>21.72</v>
      </c>
      <c r="I1249">
        <v>0</v>
      </c>
      <c r="L1249">
        <v>4</v>
      </c>
      <c r="M1249">
        <v>4</v>
      </c>
      <c r="N1249">
        <v>4</v>
      </c>
      <c r="O1249">
        <v>0</v>
      </c>
      <c r="P1249">
        <v>29.72</v>
      </c>
      <c r="Q1249">
        <v>30</v>
      </c>
      <c r="R1249">
        <v>30</v>
      </c>
      <c r="S1249">
        <v>0</v>
      </c>
      <c r="T1249">
        <v>0</v>
      </c>
      <c r="U1249" s="1">
        <v>0</v>
      </c>
      <c r="V1249">
        <v>59.72</v>
      </c>
    </row>
    <row r="1250" spans="1:22" ht="15">
      <c r="A1250" s="4">
        <v>1243</v>
      </c>
      <c r="B1250">
        <v>137</v>
      </c>
      <c r="C1250" t="s">
        <v>2216</v>
      </c>
      <c r="D1250" t="s">
        <v>222</v>
      </c>
      <c r="E1250" t="s">
        <v>90</v>
      </c>
      <c r="F1250" t="s">
        <v>2850</v>
      </c>
      <c r="G1250" t="str">
        <f>"201512000915"</f>
        <v>201512000915</v>
      </c>
      <c r="H1250">
        <v>21.6</v>
      </c>
      <c r="I1250">
        <v>0</v>
      </c>
      <c r="L1250">
        <v>4</v>
      </c>
      <c r="M1250">
        <v>4</v>
      </c>
      <c r="N1250">
        <v>4</v>
      </c>
      <c r="O1250">
        <v>2</v>
      </c>
      <c r="P1250">
        <v>31.6</v>
      </c>
      <c r="Q1250">
        <v>28</v>
      </c>
      <c r="R1250">
        <v>28</v>
      </c>
      <c r="S1250">
        <v>0</v>
      </c>
      <c r="T1250">
        <v>0</v>
      </c>
      <c r="U1250" s="1">
        <v>0</v>
      </c>
      <c r="V1250">
        <v>59.6</v>
      </c>
    </row>
    <row r="1251" spans="1:22" ht="15">
      <c r="A1251" s="4">
        <v>1244</v>
      </c>
      <c r="B1251">
        <v>44</v>
      </c>
      <c r="C1251" t="s">
        <v>2851</v>
      </c>
      <c r="D1251" t="s">
        <v>160</v>
      </c>
      <c r="E1251" t="s">
        <v>2852</v>
      </c>
      <c r="F1251" t="s">
        <v>2853</v>
      </c>
      <c r="G1251" t="str">
        <f>"00517889"</f>
        <v>00517889</v>
      </c>
      <c r="H1251">
        <v>21.6</v>
      </c>
      <c r="I1251">
        <v>0</v>
      </c>
      <c r="M1251">
        <v>4</v>
      </c>
      <c r="N1251">
        <v>0</v>
      </c>
      <c r="O1251">
        <v>2</v>
      </c>
      <c r="P1251">
        <v>27.6</v>
      </c>
      <c r="Q1251">
        <v>32</v>
      </c>
      <c r="R1251">
        <v>32</v>
      </c>
      <c r="S1251">
        <v>0</v>
      </c>
      <c r="T1251">
        <v>0</v>
      </c>
      <c r="U1251" s="1" t="s">
        <v>6251</v>
      </c>
      <c r="V1251">
        <v>59.6</v>
      </c>
    </row>
    <row r="1252" spans="1:22" ht="15">
      <c r="A1252" s="4">
        <v>1245</v>
      </c>
      <c r="B1252">
        <v>687</v>
      </c>
      <c r="C1252" t="s">
        <v>2854</v>
      </c>
      <c r="D1252" t="s">
        <v>26</v>
      </c>
      <c r="E1252" t="s">
        <v>2453</v>
      </c>
      <c r="F1252" t="s">
        <v>2855</v>
      </c>
      <c r="G1252" t="str">
        <f>"00508180"</f>
        <v>00508180</v>
      </c>
      <c r="H1252">
        <v>21.6</v>
      </c>
      <c r="I1252">
        <v>0</v>
      </c>
      <c r="L1252">
        <v>4</v>
      </c>
      <c r="M1252">
        <v>4</v>
      </c>
      <c r="N1252">
        <v>4</v>
      </c>
      <c r="O1252">
        <v>0</v>
      </c>
      <c r="P1252">
        <v>29.6</v>
      </c>
      <c r="Q1252">
        <v>24</v>
      </c>
      <c r="R1252">
        <v>24</v>
      </c>
      <c r="S1252">
        <v>6</v>
      </c>
      <c r="T1252">
        <v>0</v>
      </c>
      <c r="U1252" s="1">
        <v>0</v>
      </c>
      <c r="V1252">
        <v>59.6</v>
      </c>
    </row>
    <row r="1253" spans="1:22" ht="15">
      <c r="A1253" s="4">
        <v>1246</v>
      </c>
      <c r="B1253">
        <v>1741</v>
      </c>
      <c r="C1253" t="s">
        <v>2856</v>
      </c>
      <c r="D1253" t="s">
        <v>68</v>
      </c>
      <c r="E1253" t="s">
        <v>23</v>
      </c>
      <c r="F1253" t="s">
        <v>2857</v>
      </c>
      <c r="G1253" t="str">
        <f>"201511030223"</f>
        <v>201511030223</v>
      </c>
      <c r="H1253">
        <v>39.6</v>
      </c>
      <c r="I1253">
        <v>0</v>
      </c>
      <c r="M1253">
        <v>4</v>
      </c>
      <c r="N1253">
        <v>0</v>
      </c>
      <c r="O1253">
        <v>0</v>
      </c>
      <c r="P1253">
        <v>43.6</v>
      </c>
      <c r="Q1253">
        <v>7</v>
      </c>
      <c r="R1253">
        <v>7</v>
      </c>
      <c r="S1253">
        <v>9</v>
      </c>
      <c r="T1253">
        <v>0</v>
      </c>
      <c r="U1253" s="1">
        <v>0</v>
      </c>
      <c r="V1253">
        <v>59.6</v>
      </c>
    </row>
    <row r="1254" spans="1:22" ht="15">
      <c r="A1254" s="4">
        <v>1247</v>
      </c>
      <c r="B1254">
        <v>943</v>
      </c>
      <c r="C1254" t="s">
        <v>2858</v>
      </c>
      <c r="D1254" t="s">
        <v>189</v>
      </c>
      <c r="E1254" t="s">
        <v>260</v>
      </c>
      <c r="F1254" t="s">
        <v>2859</v>
      </c>
      <c r="G1254" t="str">
        <f>"00017432"</f>
        <v>00017432</v>
      </c>
      <c r="H1254">
        <v>33.6</v>
      </c>
      <c r="I1254">
        <v>0</v>
      </c>
      <c r="M1254">
        <v>4</v>
      </c>
      <c r="N1254">
        <v>0</v>
      </c>
      <c r="O1254">
        <v>0</v>
      </c>
      <c r="P1254">
        <v>37.6</v>
      </c>
      <c r="Q1254">
        <v>22</v>
      </c>
      <c r="R1254">
        <v>22</v>
      </c>
      <c r="S1254">
        <v>0</v>
      </c>
      <c r="T1254">
        <v>0</v>
      </c>
      <c r="U1254" s="1">
        <v>0</v>
      </c>
      <c r="V1254">
        <v>59.6</v>
      </c>
    </row>
    <row r="1255" spans="1:22" ht="15">
      <c r="A1255" s="4">
        <v>1248</v>
      </c>
      <c r="B1255">
        <v>1331</v>
      </c>
      <c r="C1255" t="s">
        <v>2860</v>
      </c>
      <c r="D1255" t="s">
        <v>76</v>
      </c>
      <c r="E1255" t="s">
        <v>19</v>
      </c>
      <c r="F1255" t="s">
        <v>2861</v>
      </c>
      <c r="G1255" t="str">
        <f>"00518826"</f>
        <v>00518826</v>
      </c>
      <c r="H1255">
        <v>21.6</v>
      </c>
      <c r="I1255">
        <v>0</v>
      </c>
      <c r="M1255">
        <v>4</v>
      </c>
      <c r="N1255">
        <v>0</v>
      </c>
      <c r="O1255">
        <v>2</v>
      </c>
      <c r="P1255">
        <v>27.6</v>
      </c>
      <c r="Q1255">
        <v>32</v>
      </c>
      <c r="R1255">
        <v>32</v>
      </c>
      <c r="S1255">
        <v>0</v>
      </c>
      <c r="T1255">
        <v>0</v>
      </c>
      <c r="U1255" s="1">
        <v>0</v>
      </c>
      <c r="V1255">
        <v>59.6</v>
      </c>
    </row>
    <row r="1256" spans="1:22" ht="15">
      <c r="A1256" s="4">
        <v>1249</v>
      </c>
      <c r="B1256">
        <v>510</v>
      </c>
      <c r="C1256" t="s">
        <v>2862</v>
      </c>
      <c r="D1256" t="s">
        <v>14</v>
      </c>
      <c r="E1256" t="s">
        <v>11</v>
      </c>
      <c r="F1256" t="s">
        <v>2863</v>
      </c>
      <c r="G1256" t="str">
        <f>"00529417"</f>
        <v>00529417</v>
      </c>
      <c r="H1256">
        <v>50.4</v>
      </c>
      <c r="I1256">
        <v>0</v>
      </c>
      <c r="M1256">
        <v>0</v>
      </c>
      <c r="N1256">
        <v>0</v>
      </c>
      <c r="O1256">
        <v>0</v>
      </c>
      <c r="P1256">
        <v>50.4</v>
      </c>
      <c r="Q1256">
        <v>9</v>
      </c>
      <c r="R1256">
        <v>9</v>
      </c>
      <c r="S1256">
        <v>0</v>
      </c>
      <c r="T1256">
        <v>0</v>
      </c>
      <c r="U1256" s="1">
        <v>0</v>
      </c>
      <c r="V1256">
        <v>59.4</v>
      </c>
    </row>
    <row r="1257" spans="1:22" ht="15">
      <c r="A1257" s="4">
        <v>1250</v>
      </c>
      <c r="B1257">
        <v>212</v>
      </c>
      <c r="C1257" t="s">
        <v>2864</v>
      </c>
      <c r="D1257" t="s">
        <v>29</v>
      </c>
      <c r="E1257" t="s">
        <v>90</v>
      </c>
      <c r="F1257" t="s">
        <v>2865</v>
      </c>
      <c r="G1257" t="str">
        <f>"00526948"</f>
        <v>00526948</v>
      </c>
      <c r="H1257">
        <v>14.4</v>
      </c>
      <c r="I1257">
        <v>0</v>
      </c>
      <c r="M1257">
        <v>4</v>
      </c>
      <c r="N1257">
        <v>0</v>
      </c>
      <c r="O1257">
        <v>2</v>
      </c>
      <c r="P1257">
        <v>20.4</v>
      </c>
      <c r="Q1257">
        <v>39</v>
      </c>
      <c r="R1257">
        <v>39</v>
      </c>
      <c r="S1257">
        <v>0</v>
      </c>
      <c r="T1257">
        <v>0</v>
      </c>
      <c r="U1257" s="1">
        <v>0</v>
      </c>
      <c r="V1257">
        <v>59.4</v>
      </c>
    </row>
    <row r="1258" spans="1:22" ht="15">
      <c r="A1258" s="4">
        <v>1251</v>
      </c>
      <c r="B1258">
        <v>1303</v>
      </c>
      <c r="C1258" t="s">
        <v>2025</v>
      </c>
      <c r="D1258" t="s">
        <v>1346</v>
      </c>
      <c r="E1258" t="s">
        <v>11</v>
      </c>
      <c r="F1258" t="s">
        <v>2866</v>
      </c>
      <c r="G1258" t="str">
        <f>"00503145"</f>
        <v>00503145</v>
      </c>
      <c r="H1258">
        <v>24.4</v>
      </c>
      <c r="I1258">
        <v>0</v>
      </c>
      <c r="M1258">
        <v>4</v>
      </c>
      <c r="N1258">
        <v>0</v>
      </c>
      <c r="O1258">
        <v>0</v>
      </c>
      <c r="P1258">
        <v>28.4</v>
      </c>
      <c r="Q1258">
        <v>31</v>
      </c>
      <c r="R1258">
        <v>31</v>
      </c>
      <c r="S1258">
        <v>0</v>
      </c>
      <c r="T1258">
        <v>0</v>
      </c>
      <c r="U1258" s="1">
        <v>0</v>
      </c>
      <c r="V1258">
        <v>59.4</v>
      </c>
    </row>
    <row r="1259" spans="1:22" ht="15">
      <c r="A1259" s="4">
        <v>1252</v>
      </c>
      <c r="B1259">
        <v>962</v>
      </c>
      <c r="C1259" t="s">
        <v>2867</v>
      </c>
      <c r="D1259" t="s">
        <v>26</v>
      </c>
      <c r="E1259" t="s">
        <v>23</v>
      </c>
      <c r="F1259" t="s">
        <v>2868</v>
      </c>
      <c r="G1259" t="str">
        <f>"00511654"</f>
        <v>00511654</v>
      </c>
      <c r="H1259">
        <v>50.4</v>
      </c>
      <c r="I1259">
        <v>0</v>
      </c>
      <c r="M1259">
        <v>4</v>
      </c>
      <c r="N1259">
        <v>0</v>
      </c>
      <c r="O1259">
        <v>2</v>
      </c>
      <c r="P1259">
        <v>56.4</v>
      </c>
      <c r="Q1259">
        <v>0</v>
      </c>
      <c r="R1259">
        <v>0</v>
      </c>
      <c r="S1259">
        <v>3</v>
      </c>
      <c r="T1259">
        <v>0</v>
      </c>
      <c r="U1259" s="1">
        <v>0</v>
      </c>
      <c r="V1259">
        <v>59.4</v>
      </c>
    </row>
    <row r="1260" spans="1:22" ht="15">
      <c r="A1260" s="4">
        <v>1253</v>
      </c>
      <c r="B1260">
        <v>1271</v>
      </c>
      <c r="C1260" t="s">
        <v>2869</v>
      </c>
      <c r="D1260" t="s">
        <v>26</v>
      </c>
      <c r="E1260" t="s">
        <v>1196</v>
      </c>
      <c r="F1260" t="s">
        <v>2870</v>
      </c>
      <c r="G1260" t="str">
        <f>"00519322"</f>
        <v>00519322</v>
      </c>
      <c r="H1260">
        <v>33.32</v>
      </c>
      <c r="I1260">
        <v>0</v>
      </c>
      <c r="M1260">
        <v>4</v>
      </c>
      <c r="N1260">
        <v>0</v>
      </c>
      <c r="O1260">
        <v>0</v>
      </c>
      <c r="P1260">
        <v>37.32</v>
      </c>
      <c r="Q1260">
        <v>16</v>
      </c>
      <c r="R1260">
        <v>16</v>
      </c>
      <c r="S1260">
        <v>6</v>
      </c>
      <c r="T1260">
        <v>0</v>
      </c>
      <c r="U1260" s="1">
        <v>0</v>
      </c>
      <c r="V1260">
        <v>59.32</v>
      </c>
    </row>
    <row r="1261" spans="1:22" ht="15">
      <c r="A1261" s="4">
        <v>1254</v>
      </c>
      <c r="B1261">
        <v>2080</v>
      </c>
      <c r="C1261" t="s">
        <v>1989</v>
      </c>
      <c r="D1261" t="s">
        <v>160</v>
      </c>
      <c r="E1261" t="s">
        <v>73</v>
      </c>
      <c r="F1261" t="s">
        <v>2871</v>
      </c>
      <c r="G1261" t="str">
        <f>"00532104"</f>
        <v>00532104</v>
      </c>
      <c r="H1261">
        <v>35.28</v>
      </c>
      <c r="I1261">
        <v>0</v>
      </c>
      <c r="L1261">
        <v>4</v>
      </c>
      <c r="M1261">
        <v>0</v>
      </c>
      <c r="N1261">
        <v>4</v>
      </c>
      <c r="O1261">
        <v>0</v>
      </c>
      <c r="P1261">
        <v>39.28</v>
      </c>
      <c r="Q1261">
        <v>14</v>
      </c>
      <c r="R1261">
        <v>14</v>
      </c>
      <c r="S1261">
        <v>6</v>
      </c>
      <c r="T1261">
        <v>0</v>
      </c>
      <c r="U1261" s="1">
        <v>0</v>
      </c>
      <c r="V1261">
        <v>59.28</v>
      </c>
    </row>
    <row r="1262" spans="1:22" ht="15">
      <c r="A1262" s="4">
        <v>1255</v>
      </c>
      <c r="B1262">
        <v>2884</v>
      </c>
      <c r="C1262" t="s">
        <v>2872</v>
      </c>
      <c r="D1262" t="s">
        <v>2873</v>
      </c>
      <c r="E1262" t="s">
        <v>2874</v>
      </c>
      <c r="F1262" t="s">
        <v>2875</v>
      </c>
      <c r="G1262" t="str">
        <f>"00531345"</f>
        <v>00531345</v>
      </c>
      <c r="H1262">
        <v>43.2</v>
      </c>
      <c r="I1262">
        <v>10</v>
      </c>
      <c r="M1262">
        <v>0</v>
      </c>
      <c r="N1262">
        <v>0</v>
      </c>
      <c r="O1262">
        <v>0</v>
      </c>
      <c r="P1262">
        <v>53.2</v>
      </c>
      <c r="Q1262">
        <v>0</v>
      </c>
      <c r="R1262">
        <v>0</v>
      </c>
      <c r="S1262">
        <v>6</v>
      </c>
      <c r="T1262">
        <v>0</v>
      </c>
      <c r="U1262" s="1">
        <v>0</v>
      </c>
      <c r="V1262">
        <v>59.2</v>
      </c>
    </row>
    <row r="1263" spans="1:22" ht="15">
      <c r="A1263" s="4">
        <v>1256</v>
      </c>
      <c r="B1263">
        <v>2491</v>
      </c>
      <c r="C1263" t="s">
        <v>2876</v>
      </c>
      <c r="D1263" t="s">
        <v>40</v>
      </c>
      <c r="E1263" t="s">
        <v>23</v>
      </c>
      <c r="F1263" t="s">
        <v>2877</v>
      </c>
      <c r="G1263" t="str">
        <f>"00069645"</f>
        <v>00069645</v>
      </c>
      <c r="H1263">
        <v>19.2</v>
      </c>
      <c r="I1263">
        <v>10</v>
      </c>
      <c r="L1263">
        <v>4</v>
      </c>
      <c r="M1263">
        <v>4</v>
      </c>
      <c r="N1263">
        <v>4</v>
      </c>
      <c r="O1263">
        <v>0</v>
      </c>
      <c r="P1263">
        <v>37.2</v>
      </c>
      <c r="Q1263">
        <v>16</v>
      </c>
      <c r="R1263">
        <v>16</v>
      </c>
      <c r="S1263">
        <v>6</v>
      </c>
      <c r="T1263">
        <v>0</v>
      </c>
      <c r="U1263" s="1">
        <v>0</v>
      </c>
      <c r="V1263">
        <v>59.2</v>
      </c>
    </row>
    <row r="1264" spans="1:22" ht="15">
      <c r="A1264" s="4">
        <v>1257</v>
      </c>
      <c r="B1264">
        <v>2526</v>
      </c>
      <c r="C1264" t="s">
        <v>2878</v>
      </c>
      <c r="D1264" t="s">
        <v>211</v>
      </c>
      <c r="E1264" t="s">
        <v>157</v>
      </c>
      <c r="F1264" t="s">
        <v>2879</v>
      </c>
      <c r="G1264" t="str">
        <f>"00533073"</f>
        <v>00533073</v>
      </c>
      <c r="H1264">
        <v>7.2</v>
      </c>
      <c r="I1264">
        <v>0</v>
      </c>
      <c r="M1264">
        <v>4</v>
      </c>
      <c r="N1264">
        <v>0</v>
      </c>
      <c r="O1264">
        <v>0</v>
      </c>
      <c r="P1264">
        <v>11.2</v>
      </c>
      <c r="Q1264">
        <v>48</v>
      </c>
      <c r="R1264">
        <v>48</v>
      </c>
      <c r="S1264">
        <v>0</v>
      </c>
      <c r="T1264">
        <v>0</v>
      </c>
      <c r="U1264" s="1">
        <v>0</v>
      </c>
      <c r="V1264">
        <v>59.2</v>
      </c>
    </row>
    <row r="1265" spans="1:22" ht="15">
      <c r="A1265" s="4">
        <v>1258</v>
      </c>
      <c r="B1265">
        <v>2520</v>
      </c>
      <c r="C1265" t="s">
        <v>2880</v>
      </c>
      <c r="D1265" t="s">
        <v>58</v>
      </c>
      <c r="E1265" t="s">
        <v>11</v>
      </c>
      <c r="F1265" t="s">
        <v>2881</v>
      </c>
      <c r="G1265" t="str">
        <f>"00533363"</f>
        <v>00533363</v>
      </c>
      <c r="H1265">
        <v>43.2</v>
      </c>
      <c r="I1265">
        <v>10</v>
      </c>
      <c r="L1265">
        <v>4</v>
      </c>
      <c r="M1265">
        <v>0</v>
      </c>
      <c r="N1265">
        <v>4</v>
      </c>
      <c r="O1265">
        <v>2</v>
      </c>
      <c r="P1265">
        <v>59.2</v>
      </c>
      <c r="Q1265">
        <v>0</v>
      </c>
      <c r="R1265">
        <v>0</v>
      </c>
      <c r="S1265">
        <v>0</v>
      </c>
      <c r="T1265">
        <v>0</v>
      </c>
      <c r="U1265" s="1">
        <v>0</v>
      </c>
      <c r="V1265">
        <v>59.2</v>
      </c>
    </row>
    <row r="1266" spans="1:22" ht="15">
      <c r="A1266" s="4">
        <v>1259</v>
      </c>
      <c r="B1266">
        <v>1472</v>
      </c>
      <c r="C1266" t="s">
        <v>2882</v>
      </c>
      <c r="D1266" t="s">
        <v>89</v>
      </c>
      <c r="E1266" t="s">
        <v>51</v>
      </c>
      <c r="F1266" t="s">
        <v>2883</v>
      </c>
      <c r="G1266" t="str">
        <f>"00526648"</f>
        <v>00526648</v>
      </c>
      <c r="H1266">
        <v>43.2</v>
      </c>
      <c r="I1266">
        <v>0</v>
      </c>
      <c r="K1266">
        <v>6</v>
      </c>
      <c r="L1266">
        <v>4</v>
      </c>
      <c r="M1266">
        <v>4</v>
      </c>
      <c r="N1266">
        <v>10</v>
      </c>
      <c r="O1266">
        <v>2</v>
      </c>
      <c r="P1266">
        <v>59.2</v>
      </c>
      <c r="Q1266">
        <v>0</v>
      </c>
      <c r="R1266">
        <v>0</v>
      </c>
      <c r="S1266">
        <v>0</v>
      </c>
      <c r="T1266">
        <v>0</v>
      </c>
      <c r="U1266" s="1">
        <v>0</v>
      </c>
      <c r="V1266">
        <v>59.2</v>
      </c>
    </row>
    <row r="1267" spans="1:22" ht="15">
      <c r="A1267" s="4">
        <v>1260</v>
      </c>
      <c r="B1267">
        <v>843</v>
      </c>
      <c r="C1267" t="s">
        <v>2884</v>
      </c>
      <c r="D1267" t="s">
        <v>156</v>
      </c>
      <c r="E1267" t="s">
        <v>157</v>
      </c>
      <c r="F1267" t="s">
        <v>2885</v>
      </c>
      <c r="G1267" t="str">
        <f>"00480650"</f>
        <v>00480650</v>
      </c>
      <c r="H1267">
        <v>19.2</v>
      </c>
      <c r="I1267">
        <v>0</v>
      </c>
      <c r="M1267">
        <v>0</v>
      </c>
      <c r="N1267">
        <v>0</v>
      </c>
      <c r="O1267">
        <v>0</v>
      </c>
      <c r="P1267">
        <v>19.2</v>
      </c>
      <c r="Q1267">
        <v>37</v>
      </c>
      <c r="R1267">
        <v>37</v>
      </c>
      <c r="S1267">
        <v>3</v>
      </c>
      <c r="T1267">
        <v>0</v>
      </c>
      <c r="U1267" s="1">
        <v>0</v>
      </c>
      <c r="V1267">
        <v>59.2</v>
      </c>
    </row>
    <row r="1268" spans="1:22" ht="15">
      <c r="A1268" s="4">
        <v>1261</v>
      </c>
      <c r="B1268">
        <v>3293</v>
      </c>
      <c r="C1268" t="s">
        <v>2886</v>
      </c>
      <c r="D1268" t="s">
        <v>211</v>
      </c>
      <c r="E1268" t="s">
        <v>11</v>
      </c>
      <c r="F1268" t="s">
        <v>2887</v>
      </c>
      <c r="G1268" t="str">
        <f>"00519948"</f>
        <v>00519948</v>
      </c>
      <c r="H1268">
        <v>43.2</v>
      </c>
      <c r="I1268">
        <v>0</v>
      </c>
      <c r="L1268">
        <v>4</v>
      </c>
      <c r="M1268">
        <v>4</v>
      </c>
      <c r="N1268">
        <v>4</v>
      </c>
      <c r="O1268">
        <v>0</v>
      </c>
      <c r="P1268">
        <v>51.2</v>
      </c>
      <c r="Q1268">
        <v>8</v>
      </c>
      <c r="R1268">
        <v>8</v>
      </c>
      <c r="S1268">
        <v>0</v>
      </c>
      <c r="T1268">
        <v>0</v>
      </c>
      <c r="U1268" s="1">
        <v>0</v>
      </c>
      <c r="V1268">
        <v>59.2</v>
      </c>
    </row>
    <row r="1269" spans="1:22" ht="15">
      <c r="A1269" s="4">
        <v>1262</v>
      </c>
      <c r="B1269">
        <v>2464</v>
      </c>
      <c r="C1269" t="s">
        <v>370</v>
      </c>
      <c r="D1269" t="s">
        <v>124</v>
      </c>
      <c r="E1269" t="s">
        <v>73</v>
      </c>
      <c r="F1269" t="s">
        <v>2888</v>
      </c>
      <c r="G1269" t="str">
        <f>"00529965"</f>
        <v>00529965</v>
      </c>
      <c r="H1269">
        <v>43.2</v>
      </c>
      <c r="I1269">
        <v>10</v>
      </c>
      <c r="M1269">
        <v>0</v>
      </c>
      <c r="N1269">
        <v>0</v>
      </c>
      <c r="O1269">
        <v>0</v>
      </c>
      <c r="P1269">
        <v>53.2</v>
      </c>
      <c r="Q1269">
        <v>0</v>
      </c>
      <c r="R1269">
        <v>0</v>
      </c>
      <c r="S1269">
        <v>6</v>
      </c>
      <c r="T1269">
        <v>0</v>
      </c>
      <c r="U1269" s="1">
        <v>0</v>
      </c>
      <c r="V1269">
        <v>59.2</v>
      </c>
    </row>
    <row r="1270" spans="1:22" ht="15">
      <c r="A1270" s="4">
        <v>1263</v>
      </c>
      <c r="B1270">
        <v>2846</v>
      </c>
      <c r="C1270" t="s">
        <v>598</v>
      </c>
      <c r="D1270" t="s">
        <v>26</v>
      </c>
      <c r="E1270" t="s">
        <v>51</v>
      </c>
      <c r="F1270" t="s">
        <v>2889</v>
      </c>
      <c r="G1270" t="str">
        <f>"00515014"</f>
        <v>00515014</v>
      </c>
      <c r="H1270">
        <v>12</v>
      </c>
      <c r="I1270">
        <v>0</v>
      </c>
      <c r="M1270">
        <v>0</v>
      </c>
      <c r="N1270">
        <v>0</v>
      </c>
      <c r="O1270">
        <v>0</v>
      </c>
      <c r="P1270">
        <v>12</v>
      </c>
      <c r="Q1270">
        <v>47</v>
      </c>
      <c r="R1270">
        <v>47</v>
      </c>
      <c r="S1270">
        <v>0</v>
      </c>
      <c r="T1270">
        <v>0</v>
      </c>
      <c r="U1270" s="1">
        <v>0</v>
      </c>
      <c r="V1270">
        <v>59</v>
      </c>
    </row>
    <row r="1271" spans="1:22" ht="15">
      <c r="A1271" s="4">
        <v>1264</v>
      </c>
      <c r="B1271">
        <v>2530</v>
      </c>
      <c r="C1271" t="s">
        <v>2890</v>
      </c>
      <c r="D1271" t="s">
        <v>649</v>
      </c>
      <c r="E1271" t="s">
        <v>23</v>
      </c>
      <c r="F1271" t="s">
        <v>2891</v>
      </c>
      <c r="G1271" t="str">
        <f>"00442291"</f>
        <v>00442291</v>
      </c>
      <c r="H1271">
        <v>36</v>
      </c>
      <c r="I1271">
        <v>0</v>
      </c>
      <c r="M1271">
        <v>0</v>
      </c>
      <c r="N1271">
        <v>0</v>
      </c>
      <c r="O1271">
        <v>0</v>
      </c>
      <c r="P1271">
        <v>36</v>
      </c>
      <c r="Q1271">
        <v>17</v>
      </c>
      <c r="R1271">
        <v>17</v>
      </c>
      <c r="S1271">
        <v>6</v>
      </c>
      <c r="T1271">
        <v>0</v>
      </c>
      <c r="U1271" s="1">
        <v>0</v>
      </c>
      <c r="V1271">
        <v>59</v>
      </c>
    </row>
    <row r="1272" spans="1:22" ht="15">
      <c r="A1272" s="4">
        <v>1265</v>
      </c>
      <c r="B1272">
        <v>1724</v>
      </c>
      <c r="C1272" t="s">
        <v>2892</v>
      </c>
      <c r="D1272" t="s">
        <v>273</v>
      </c>
      <c r="E1272" t="s">
        <v>51</v>
      </c>
      <c r="F1272" t="s">
        <v>2893</v>
      </c>
      <c r="G1272" t="str">
        <f>"00511228"</f>
        <v>00511228</v>
      </c>
      <c r="H1272">
        <v>28.8</v>
      </c>
      <c r="I1272">
        <v>0</v>
      </c>
      <c r="L1272">
        <v>4</v>
      </c>
      <c r="M1272">
        <v>4</v>
      </c>
      <c r="N1272">
        <v>4</v>
      </c>
      <c r="O1272">
        <v>0</v>
      </c>
      <c r="P1272">
        <v>36.8</v>
      </c>
      <c r="Q1272">
        <v>16</v>
      </c>
      <c r="R1272">
        <v>16</v>
      </c>
      <c r="S1272">
        <v>6</v>
      </c>
      <c r="T1272">
        <v>0</v>
      </c>
      <c r="U1272" s="1">
        <v>0</v>
      </c>
      <c r="V1272">
        <v>58.8</v>
      </c>
    </row>
    <row r="1273" spans="1:22" ht="15">
      <c r="A1273" s="4">
        <v>1266</v>
      </c>
      <c r="B1273">
        <v>2553</v>
      </c>
      <c r="C1273" t="s">
        <v>2894</v>
      </c>
      <c r="D1273" t="s">
        <v>102</v>
      </c>
      <c r="E1273" t="s">
        <v>1166</v>
      </c>
      <c r="F1273" t="s">
        <v>2895</v>
      </c>
      <c r="G1273" t="str">
        <f>"00015758"</f>
        <v>00015758</v>
      </c>
      <c r="H1273">
        <v>38.8</v>
      </c>
      <c r="I1273">
        <v>10</v>
      </c>
      <c r="K1273">
        <v>6</v>
      </c>
      <c r="M1273">
        <v>4</v>
      </c>
      <c r="N1273">
        <v>6</v>
      </c>
      <c r="O1273">
        <v>0</v>
      </c>
      <c r="P1273">
        <v>58.8</v>
      </c>
      <c r="Q1273">
        <v>0</v>
      </c>
      <c r="R1273">
        <v>0</v>
      </c>
      <c r="S1273">
        <v>0</v>
      </c>
      <c r="T1273">
        <v>0</v>
      </c>
      <c r="U1273" s="1">
        <v>0</v>
      </c>
      <c r="V1273">
        <v>58.8</v>
      </c>
    </row>
    <row r="1274" spans="1:22" ht="15">
      <c r="A1274" s="4">
        <v>1267</v>
      </c>
      <c r="B1274">
        <v>1759</v>
      </c>
      <c r="C1274" t="s">
        <v>2896</v>
      </c>
      <c r="D1274" t="s">
        <v>40</v>
      </c>
      <c r="E1274" t="s">
        <v>23</v>
      </c>
      <c r="F1274" t="s">
        <v>2897</v>
      </c>
      <c r="G1274" t="str">
        <f>"00520844"</f>
        <v>00520844</v>
      </c>
      <c r="H1274">
        <v>28.72</v>
      </c>
      <c r="I1274">
        <v>10</v>
      </c>
      <c r="M1274">
        <v>4</v>
      </c>
      <c r="N1274">
        <v>0</v>
      </c>
      <c r="O1274">
        <v>2</v>
      </c>
      <c r="P1274">
        <v>44.72</v>
      </c>
      <c r="Q1274">
        <v>8</v>
      </c>
      <c r="R1274">
        <v>8</v>
      </c>
      <c r="S1274">
        <v>6</v>
      </c>
      <c r="T1274">
        <v>0</v>
      </c>
      <c r="U1274" s="1">
        <v>0</v>
      </c>
      <c r="V1274">
        <v>58.72</v>
      </c>
    </row>
    <row r="1275" spans="1:22" ht="15">
      <c r="A1275" s="4">
        <v>1268</v>
      </c>
      <c r="B1275">
        <v>1244</v>
      </c>
      <c r="C1275" t="s">
        <v>2898</v>
      </c>
      <c r="D1275" t="s">
        <v>170</v>
      </c>
      <c r="E1275" t="s">
        <v>15</v>
      </c>
      <c r="F1275" t="s">
        <v>2899</v>
      </c>
      <c r="G1275" t="str">
        <f>"00503685"</f>
        <v>00503685</v>
      </c>
      <c r="H1275">
        <v>24.72</v>
      </c>
      <c r="I1275">
        <v>0</v>
      </c>
      <c r="L1275">
        <v>4</v>
      </c>
      <c r="M1275">
        <v>4</v>
      </c>
      <c r="N1275">
        <v>4</v>
      </c>
      <c r="O1275">
        <v>0</v>
      </c>
      <c r="P1275">
        <v>32.72</v>
      </c>
      <c r="Q1275">
        <v>23</v>
      </c>
      <c r="R1275">
        <v>23</v>
      </c>
      <c r="S1275">
        <v>3</v>
      </c>
      <c r="T1275">
        <v>0</v>
      </c>
      <c r="U1275" s="1">
        <v>0</v>
      </c>
      <c r="V1275">
        <v>58.72</v>
      </c>
    </row>
    <row r="1276" spans="1:22" ht="15">
      <c r="A1276" s="4">
        <v>1269</v>
      </c>
      <c r="B1276">
        <v>63</v>
      </c>
      <c r="C1276" t="s">
        <v>2900</v>
      </c>
      <c r="D1276" t="s">
        <v>493</v>
      </c>
      <c r="E1276" t="s">
        <v>11</v>
      </c>
      <c r="F1276" t="s">
        <v>2901</v>
      </c>
      <c r="G1276" t="str">
        <f>"20160706582"</f>
        <v>20160706582</v>
      </c>
      <c r="H1276">
        <v>27.64</v>
      </c>
      <c r="I1276">
        <v>0</v>
      </c>
      <c r="M1276">
        <v>4</v>
      </c>
      <c r="N1276">
        <v>0</v>
      </c>
      <c r="O1276">
        <v>0</v>
      </c>
      <c r="P1276">
        <v>31.64</v>
      </c>
      <c r="Q1276">
        <v>18</v>
      </c>
      <c r="R1276">
        <v>18</v>
      </c>
      <c r="S1276">
        <v>9</v>
      </c>
      <c r="T1276">
        <v>0</v>
      </c>
      <c r="U1276" s="1">
        <v>0</v>
      </c>
      <c r="V1276">
        <v>58.64</v>
      </c>
    </row>
    <row r="1277" spans="1:22" ht="15">
      <c r="A1277" s="4">
        <v>1270</v>
      </c>
      <c r="B1277">
        <v>3399</v>
      </c>
      <c r="C1277" t="s">
        <v>2902</v>
      </c>
      <c r="D1277" t="s">
        <v>36</v>
      </c>
      <c r="E1277" t="s">
        <v>51</v>
      </c>
      <c r="F1277" t="s">
        <v>2903</v>
      </c>
      <c r="G1277" t="str">
        <f>"00161241"</f>
        <v>00161241</v>
      </c>
      <c r="H1277">
        <v>21.6</v>
      </c>
      <c r="I1277">
        <v>0</v>
      </c>
      <c r="L1277">
        <v>4</v>
      </c>
      <c r="M1277">
        <v>4</v>
      </c>
      <c r="N1277">
        <v>4</v>
      </c>
      <c r="O1277">
        <v>0</v>
      </c>
      <c r="P1277">
        <v>29.6</v>
      </c>
      <c r="Q1277">
        <v>29</v>
      </c>
      <c r="R1277">
        <v>29</v>
      </c>
      <c r="S1277">
        <v>0</v>
      </c>
      <c r="T1277">
        <v>0</v>
      </c>
      <c r="U1277" s="1">
        <v>0</v>
      </c>
      <c r="V1277">
        <v>58.6</v>
      </c>
    </row>
    <row r="1278" spans="1:22" ht="15">
      <c r="A1278" s="4">
        <v>1271</v>
      </c>
      <c r="B1278">
        <v>2172</v>
      </c>
      <c r="C1278" t="s">
        <v>2904</v>
      </c>
      <c r="D1278" t="s">
        <v>2905</v>
      </c>
      <c r="E1278" t="s">
        <v>2906</v>
      </c>
      <c r="F1278" t="s">
        <v>2907</v>
      </c>
      <c r="G1278" t="str">
        <f>"00499381"</f>
        <v>00499381</v>
      </c>
      <c r="H1278">
        <v>21.6</v>
      </c>
      <c r="I1278">
        <v>0</v>
      </c>
      <c r="M1278">
        <v>4</v>
      </c>
      <c r="N1278">
        <v>0</v>
      </c>
      <c r="O1278">
        <v>0</v>
      </c>
      <c r="P1278">
        <v>25.6</v>
      </c>
      <c r="Q1278">
        <v>33</v>
      </c>
      <c r="R1278">
        <v>33</v>
      </c>
      <c r="S1278">
        <v>0</v>
      </c>
      <c r="T1278">
        <v>0</v>
      </c>
      <c r="U1278" s="1">
        <v>0</v>
      </c>
      <c r="V1278">
        <v>58.6</v>
      </c>
    </row>
    <row r="1279" spans="1:22" ht="15">
      <c r="A1279" s="4">
        <v>1272</v>
      </c>
      <c r="B1279">
        <v>1168</v>
      </c>
      <c r="C1279" t="s">
        <v>2908</v>
      </c>
      <c r="D1279" t="s">
        <v>2909</v>
      </c>
      <c r="E1279" t="s">
        <v>2910</v>
      </c>
      <c r="F1279" t="s">
        <v>2911</v>
      </c>
      <c r="G1279" t="str">
        <f>"00497289"</f>
        <v>00497289</v>
      </c>
      <c r="H1279">
        <v>21.6</v>
      </c>
      <c r="I1279">
        <v>0</v>
      </c>
      <c r="J1279">
        <v>8</v>
      </c>
      <c r="M1279">
        <v>4</v>
      </c>
      <c r="N1279">
        <v>8</v>
      </c>
      <c r="O1279">
        <v>0</v>
      </c>
      <c r="P1279">
        <v>33.6</v>
      </c>
      <c r="Q1279">
        <v>25</v>
      </c>
      <c r="R1279">
        <v>25</v>
      </c>
      <c r="S1279">
        <v>0</v>
      </c>
      <c r="T1279">
        <v>0</v>
      </c>
      <c r="U1279" s="1">
        <v>0</v>
      </c>
      <c r="V1279">
        <v>58.6</v>
      </c>
    </row>
    <row r="1280" spans="1:22" ht="15">
      <c r="A1280" s="4">
        <v>1273</v>
      </c>
      <c r="B1280">
        <v>2617</v>
      </c>
      <c r="C1280" t="s">
        <v>2912</v>
      </c>
      <c r="D1280" t="s">
        <v>280</v>
      </c>
      <c r="E1280" t="s">
        <v>447</v>
      </c>
      <c r="F1280" t="s">
        <v>2913</v>
      </c>
      <c r="G1280" t="str">
        <f>"00442380"</f>
        <v>00442380</v>
      </c>
      <c r="H1280">
        <v>21.6</v>
      </c>
      <c r="I1280">
        <v>10</v>
      </c>
      <c r="M1280">
        <v>4</v>
      </c>
      <c r="N1280">
        <v>0</v>
      </c>
      <c r="O1280">
        <v>2</v>
      </c>
      <c r="P1280">
        <v>37.6</v>
      </c>
      <c r="Q1280">
        <v>21</v>
      </c>
      <c r="R1280">
        <v>21</v>
      </c>
      <c r="S1280">
        <v>0</v>
      </c>
      <c r="T1280">
        <v>0</v>
      </c>
      <c r="U1280" s="1">
        <v>0</v>
      </c>
      <c r="V1280">
        <v>58.6</v>
      </c>
    </row>
    <row r="1281" spans="1:22" ht="15">
      <c r="A1281" s="4">
        <v>1274</v>
      </c>
      <c r="B1281">
        <v>658</v>
      </c>
      <c r="C1281" t="s">
        <v>2914</v>
      </c>
      <c r="D1281" t="s">
        <v>2915</v>
      </c>
      <c r="E1281" t="s">
        <v>15</v>
      </c>
      <c r="F1281" t="s">
        <v>2916</v>
      </c>
      <c r="G1281" t="str">
        <f>"00531630"</f>
        <v>00531630</v>
      </c>
      <c r="H1281">
        <v>29.6</v>
      </c>
      <c r="I1281">
        <v>0</v>
      </c>
      <c r="L1281">
        <v>4</v>
      </c>
      <c r="M1281">
        <v>4</v>
      </c>
      <c r="N1281">
        <v>4</v>
      </c>
      <c r="O1281">
        <v>0</v>
      </c>
      <c r="P1281">
        <v>37.6</v>
      </c>
      <c r="Q1281">
        <v>21</v>
      </c>
      <c r="R1281">
        <v>21</v>
      </c>
      <c r="S1281">
        <v>0</v>
      </c>
      <c r="T1281">
        <v>0</v>
      </c>
      <c r="U1281" s="1">
        <v>0</v>
      </c>
      <c r="V1281">
        <v>58.6</v>
      </c>
    </row>
    <row r="1282" spans="1:22" ht="15">
      <c r="A1282" s="4">
        <v>1275</v>
      </c>
      <c r="B1282">
        <v>2976</v>
      </c>
      <c r="C1282" t="s">
        <v>2917</v>
      </c>
      <c r="D1282" t="s">
        <v>176</v>
      </c>
      <c r="E1282" t="s">
        <v>2918</v>
      </c>
      <c r="F1282" t="s">
        <v>2919</v>
      </c>
      <c r="G1282" t="str">
        <f>"00533300"</f>
        <v>00533300</v>
      </c>
      <c r="H1282">
        <v>21.6</v>
      </c>
      <c r="I1282">
        <v>0</v>
      </c>
      <c r="M1282">
        <v>4</v>
      </c>
      <c r="N1282">
        <v>0</v>
      </c>
      <c r="O1282">
        <v>0</v>
      </c>
      <c r="P1282">
        <v>25.6</v>
      </c>
      <c r="Q1282">
        <v>33</v>
      </c>
      <c r="R1282">
        <v>33</v>
      </c>
      <c r="S1282">
        <v>0</v>
      </c>
      <c r="T1282">
        <v>0</v>
      </c>
      <c r="U1282" s="1">
        <v>0</v>
      </c>
      <c r="V1282">
        <v>58.6</v>
      </c>
    </row>
    <row r="1283" spans="1:22" ht="15">
      <c r="A1283" s="4">
        <v>1276</v>
      </c>
      <c r="B1283">
        <v>1718</v>
      </c>
      <c r="C1283" t="s">
        <v>2920</v>
      </c>
      <c r="D1283" t="s">
        <v>173</v>
      </c>
      <c r="E1283" t="s">
        <v>73</v>
      </c>
      <c r="F1283" t="s">
        <v>2921</v>
      </c>
      <c r="G1283" t="str">
        <f>"00529739"</f>
        <v>00529739</v>
      </c>
      <c r="H1283">
        <v>38.56</v>
      </c>
      <c r="I1283">
        <v>0</v>
      </c>
      <c r="L1283">
        <v>4</v>
      </c>
      <c r="M1283">
        <v>4</v>
      </c>
      <c r="N1283">
        <v>4</v>
      </c>
      <c r="O1283">
        <v>0</v>
      </c>
      <c r="P1283">
        <v>46.56</v>
      </c>
      <c r="Q1283">
        <v>0</v>
      </c>
      <c r="R1283">
        <v>0</v>
      </c>
      <c r="S1283">
        <v>12</v>
      </c>
      <c r="T1283">
        <v>0</v>
      </c>
      <c r="U1283" s="1">
        <v>0</v>
      </c>
      <c r="V1283">
        <v>58.56</v>
      </c>
    </row>
    <row r="1284" spans="1:22" ht="15">
      <c r="A1284" s="4">
        <v>1277</v>
      </c>
      <c r="B1284">
        <v>1518</v>
      </c>
      <c r="C1284" t="s">
        <v>2922</v>
      </c>
      <c r="D1284" t="s">
        <v>2923</v>
      </c>
      <c r="E1284" t="s">
        <v>2924</v>
      </c>
      <c r="F1284">
        <v>663707</v>
      </c>
      <c r="G1284" t="str">
        <f>"00143655"</f>
        <v>00143655</v>
      </c>
      <c r="H1284">
        <v>32.44</v>
      </c>
      <c r="I1284">
        <v>0</v>
      </c>
      <c r="M1284">
        <v>4</v>
      </c>
      <c r="N1284">
        <v>0</v>
      </c>
      <c r="O1284">
        <v>0</v>
      </c>
      <c r="P1284">
        <v>36.44</v>
      </c>
      <c r="Q1284">
        <v>22</v>
      </c>
      <c r="R1284">
        <v>22</v>
      </c>
      <c r="S1284">
        <v>0</v>
      </c>
      <c r="T1284">
        <v>0</v>
      </c>
      <c r="U1284" s="1">
        <v>0</v>
      </c>
      <c r="V1284">
        <v>58.44</v>
      </c>
    </row>
    <row r="1285" spans="1:22" ht="15">
      <c r="A1285" s="4">
        <v>1278</v>
      </c>
      <c r="B1285">
        <v>1620</v>
      </c>
      <c r="C1285" t="s">
        <v>2502</v>
      </c>
      <c r="D1285" t="s">
        <v>2925</v>
      </c>
      <c r="E1285" t="s">
        <v>11</v>
      </c>
      <c r="F1285" t="s">
        <v>2926</v>
      </c>
      <c r="G1285" t="str">
        <f>"00528533"</f>
        <v>00528533</v>
      </c>
      <c r="H1285">
        <v>50.4</v>
      </c>
      <c r="I1285">
        <v>0</v>
      </c>
      <c r="L1285">
        <v>4</v>
      </c>
      <c r="M1285">
        <v>4</v>
      </c>
      <c r="N1285">
        <v>4</v>
      </c>
      <c r="O1285">
        <v>0</v>
      </c>
      <c r="P1285">
        <v>58.4</v>
      </c>
      <c r="Q1285">
        <v>0</v>
      </c>
      <c r="R1285">
        <v>0</v>
      </c>
      <c r="S1285">
        <v>0</v>
      </c>
      <c r="T1285">
        <v>0</v>
      </c>
      <c r="U1285" s="1">
        <v>0</v>
      </c>
      <c r="V1285">
        <v>58.4</v>
      </c>
    </row>
    <row r="1286" spans="1:22" ht="15">
      <c r="A1286" s="4">
        <v>1279</v>
      </c>
      <c r="B1286">
        <v>2064</v>
      </c>
      <c r="C1286" t="s">
        <v>2927</v>
      </c>
      <c r="D1286" t="s">
        <v>14</v>
      </c>
      <c r="E1286" t="s">
        <v>51</v>
      </c>
      <c r="F1286" t="s">
        <v>2928</v>
      </c>
      <c r="G1286" t="str">
        <f>"00531877"</f>
        <v>00531877</v>
      </c>
      <c r="H1286">
        <v>50.4</v>
      </c>
      <c r="I1286">
        <v>0</v>
      </c>
      <c r="L1286">
        <v>4</v>
      </c>
      <c r="M1286">
        <v>0</v>
      </c>
      <c r="N1286">
        <v>4</v>
      </c>
      <c r="O1286">
        <v>0</v>
      </c>
      <c r="P1286">
        <v>54.4</v>
      </c>
      <c r="Q1286">
        <v>4</v>
      </c>
      <c r="R1286">
        <v>4</v>
      </c>
      <c r="S1286">
        <v>0</v>
      </c>
      <c r="T1286">
        <v>0</v>
      </c>
      <c r="U1286" s="1">
        <v>0</v>
      </c>
      <c r="V1286">
        <v>58.4</v>
      </c>
    </row>
    <row r="1287" spans="1:22" ht="15">
      <c r="A1287" s="4">
        <v>1280</v>
      </c>
      <c r="B1287">
        <v>1813</v>
      </c>
      <c r="C1287" t="s">
        <v>2929</v>
      </c>
      <c r="D1287" t="s">
        <v>156</v>
      </c>
      <c r="E1287" t="s">
        <v>157</v>
      </c>
      <c r="F1287" t="s">
        <v>2930</v>
      </c>
      <c r="G1287" t="str">
        <f>"00301625"</f>
        <v>00301625</v>
      </c>
      <c r="H1287">
        <v>50.4</v>
      </c>
      <c r="I1287">
        <v>0</v>
      </c>
      <c r="L1287">
        <v>4</v>
      </c>
      <c r="M1287">
        <v>4</v>
      </c>
      <c r="N1287">
        <v>4</v>
      </c>
      <c r="O1287">
        <v>0</v>
      </c>
      <c r="P1287">
        <v>58.4</v>
      </c>
      <c r="Q1287">
        <v>0</v>
      </c>
      <c r="R1287">
        <v>0</v>
      </c>
      <c r="S1287">
        <v>0</v>
      </c>
      <c r="T1287">
        <v>0</v>
      </c>
      <c r="U1287" s="1">
        <v>0</v>
      </c>
      <c r="V1287">
        <v>58.4</v>
      </c>
    </row>
    <row r="1288" spans="1:22" ht="15">
      <c r="A1288" s="4">
        <v>1281</v>
      </c>
      <c r="B1288">
        <v>639</v>
      </c>
      <c r="C1288" t="s">
        <v>341</v>
      </c>
      <c r="D1288" t="s">
        <v>29</v>
      </c>
      <c r="E1288" t="s">
        <v>514</v>
      </c>
      <c r="F1288" t="s">
        <v>2931</v>
      </c>
      <c r="G1288" t="str">
        <f>"00531906"</f>
        <v>00531906</v>
      </c>
      <c r="H1288">
        <v>50.4</v>
      </c>
      <c r="I1288">
        <v>0</v>
      </c>
      <c r="L1288">
        <v>4</v>
      </c>
      <c r="M1288">
        <v>4</v>
      </c>
      <c r="N1288">
        <v>4</v>
      </c>
      <c r="O1288">
        <v>0</v>
      </c>
      <c r="P1288">
        <v>58.4</v>
      </c>
      <c r="Q1288">
        <v>0</v>
      </c>
      <c r="R1288">
        <v>0</v>
      </c>
      <c r="S1288">
        <v>0</v>
      </c>
      <c r="T1288">
        <v>0</v>
      </c>
      <c r="U1288" s="1">
        <v>0</v>
      </c>
      <c r="V1288">
        <v>58.4</v>
      </c>
    </row>
    <row r="1289" spans="1:22" ht="15">
      <c r="A1289" s="4">
        <v>1282</v>
      </c>
      <c r="B1289">
        <v>2710</v>
      </c>
      <c r="C1289" t="s">
        <v>2932</v>
      </c>
      <c r="D1289" t="s">
        <v>93</v>
      </c>
      <c r="E1289" t="s">
        <v>73</v>
      </c>
      <c r="F1289" t="s">
        <v>2933</v>
      </c>
      <c r="G1289" t="str">
        <f>"201604000878"</f>
        <v>201604000878</v>
      </c>
      <c r="H1289">
        <v>50.4</v>
      </c>
      <c r="I1289">
        <v>0</v>
      </c>
      <c r="L1289">
        <v>4</v>
      </c>
      <c r="M1289">
        <v>4</v>
      </c>
      <c r="N1289">
        <v>4</v>
      </c>
      <c r="O1289">
        <v>0</v>
      </c>
      <c r="P1289">
        <v>58.4</v>
      </c>
      <c r="Q1289">
        <v>0</v>
      </c>
      <c r="R1289">
        <v>0</v>
      </c>
      <c r="S1289">
        <v>0</v>
      </c>
      <c r="T1289">
        <v>0</v>
      </c>
      <c r="U1289" s="1">
        <v>0</v>
      </c>
      <c r="V1289">
        <v>58.4</v>
      </c>
    </row>
    <row r="1290" spans="1:22" ht="15">
      <c r="A1290" s="4">
        <v>1283</v>
      </c>
      <c r="B1290">
        <v>814</v>
      </c>
      <c r="C1290" t="s">
        <v>2934</v>
      </c>
      <c r="D1290" t="s">
        <v>173</v>
      </c>
      <c r="E1290" t="s">
        <v>83</v>
      </c>
      <c r="F1290" t="s">
        <v>2935</v>
      </c>
      <c r="G1290" t="str">
        <f>"00524066"</f>
        <v>00524066</v>
      </c>
      <c r="H1290">
        <v>50.4</v>
      </c>
      <c r="I1290">
        <v>0</v>
      </c>
      <c r="L1290">
        <v>4</v>
      </c>
      <c r="M1290">
        <v>4</v>
      </c>
      <c r="N1290">
        <v>4</v>
      </c>
      <c r="O1290">
        <v>0</v>
      </c>
      <c r="P1290">
        <v>58.4</v>
      </c>
      <c r="Q1290">
        <v>0</v>
      </c>
      <c r="R1290">
        <v>0</v>
      </c>
      <c r="S1290">
        <v>0</v>
      </c>
      <c r="T1290">
        <v>0</v>
      </c>
      <c r="U1290" s="1">
        <v>0</v>
      </c>
      <c r="V1290">
        <v>58.4</v>
      </c>
    </row>
    <row r="1291" spans="1:22" ht="15">
      <c r="A1291" s="4">
        <v>1284</v>
      </c>
      <c r="B1291">
        <v>110</v>
      </c>
      <c r="C1291" t="s">
        <v>2936</v>
      </c>
      <c r="D1291" t="s">
        <v>68</v>
      </c>
      <c r="E1291" t="s">
        <v>197</v>
      </c>
      <c r="F1291" t="s">
        <v>2937</v>
      </c>
      <c r="G1291" t="str">
        <f>"00497820"</f>
        <v>00497820</v>
      </c>
      <c r="H1291">
        <v>50.4</v>
      </c>
      <c r="I1291">
        <v>0</v>
      </c>
      <c r="L1291">
        <v>4</v>
      </c>
      <c r="M1291">
        <v>4</v>
      </c>
      <c r="N1291">
        <v>4</v>
      </c>
      <c r="O1291">
        <v>0</v>
      </c>
      <c r="P1291">
        <v>58.4</v>
      </c>
      <c r="Q1291">
        <v>0</v>
      </c>
      <c r="R1291">
        <v>0</v>
      </c>
      <c r="S1291">
        <v>0</v>
      </c>
      <c r="T1291">
        <v>0</v>
      </c>
      <c r="U1291" s="1">
        <v>0</v>
      </c>
      <c r="V1291">
        <v>58.4</v>
      </c>
    </row>
    <row r="1292" spans="1:22" ht="15">
      <c r="A1292" s="4">
        <v>1285</v>
      </c>
      <c r="B1292">
        <v>2432</v>
      </c>
      <c r="C1292" t="s">
        <v>2938</v>
      </c>
      <c r="D1292" t="s">
        <v>82</v>
      </c>
      <c r="E1292" t="s">
        <v>344</v>
      </c>
      <c r="F1292" t="s">
        <v>2939</v>
      </c>
      <c r="G1292" t="str">
        <f>"00531008"</f>
        <v>00531008</v>
      </c>
      <c r="H1292">
        <v>50.4</v>
      </c>
      <c r="I1292">
        <v>0</v>
      </c>
      <c r="L1292">
        <v>4</v>
      </c>
      <c r="M1292">
        <v>4</v>
      </c>
      <c r="N1292">
        <v>4</v>
      </c>
      <c r="O1292">
        <v>0</v>
      </c>
      <c r="P1292">
        <v>58.4</v>
      </c>
      <c r="Q1292">
        <v>0</v>
      </c>
      <c r="R1292">
        <v>0</v>
      </c>
      <c r="S1292">
        <v>0</v>
      </c>
      <c r="T1292">
        <v>0</v>
      </c>
      <c r="U1292" s="1">
        <v>0</v>
      </c>
      <c r="V1292">
        <v>58.4</v>
      </c>
    </row>
    <row r="1293" spans="1:22" ht="15">
      <c r="A1293" s="4">
        <v>1286</v>
      </c>
      <c r="B1293">
        <v>92</v>
      </c>
      <c r="C1293" t="s">
        <v>2940</v>
      </c>
      <c r="D1293" t="s">
        <v>193</v>
      </c>
      <c r="E1293" t="s">
        <v>90</v>
      </c>
      <c r="F1293" t="s">
        <v>2941</v>
      </c>
      <c r="G1293" t="str">
        <f>"00523790"</f>
        <v>00523790</v>
      </c>
      <c r="H1293">
        <v>50.4</v>
      </c>
      <c r="I1293">
        <v>0</v>
      </c>
      <c r="L1293">
        <v>4</v>
      </c>
      <c r="M1293">
        <v>4</v>
      </c>
      <c r="N1293">
        <v>4</v>
      </c>
      <c r="O1293">
        <v>0</v>
      </c>
      <c r="P1293">
        <v>58.4</v>
      </c>
      <c r="Q1293">
        <v>0</v>
      </c>
      <c r="R1293">
        <v>0</v>
      </c>
      <c r="S1293">
        <v>0</v>
      </c>
      <c r="T1293">
        <v>0</v>
      </c>
      <c r="U1293" s="1">
        <v>0</v>
      </c>
      <c r="V1293">
        <v>58.4</v>
      </c>
    </row>
    <row r="1294" spans="1:22" ht="15">
      <c r="A1294" s="4">
        <v>1287</v>
      </c>
      <c r="B1294">
        <v>802</v>
      </c>
      <c r="C1294" t="s">
        <v>2942</v>
      </c>
      <c r="D1294" t="s">
        <v>26</v>
      </c>
      <c r="E1294" t="s">
        <v>11</v>
      </c>
      <c r="F1294" t="s">
        <v>2943</v>
      </c>
      <c r="G1294" t="str">
        <f>"00531818"</f>
        <v>00531818</v>
      </c>
      <c r="H1294">
        <v>14.4</v>
      </c>
      <c r="I1294">
        <v>0</v>
      </c>
      <c r="M1294">
        <v>4</v>
      </c>
      <c r="N1294">
        <v>0</v>
      </c>
      <c r="O1294">
        <v>0</v>
      </c>
      <c r="P1294">
        <v>18.4</v>
      </c>
      <c r="Q1294">
        <v>37</v>
      </c>
      <c r="R1294">
        <v>37</v>
      </c>
      <c r="S1294">
        <v>3</v>
      </c>
      <c r="T1294">
        <v>0</v>
      </c>
      <c r="U1294" s="1">
        <v>0</v>
      </c>
      <c r="V1294">
        <v>58.4</v>
      </c>
    </row>
    <row r="1295" spans="1:22" ht="15">
      <c r="A1295" s="4">
        <v>1288</v>
      </c>
      <c r="B1295">
        <v>3166</v>
      </c>
      <c r="C1295" t="s">
        <v>2944</v>
      </c>
      <c r="D1295" t="s">
        <v>93</v>
      </c>
      <c r="E1295" t="s">
        <v>344</v>
      </c>
      <c r="F1295" t="s">
        <v>2945</v>
      </c>
      <c r="G1295" t="str">
        <f>"00528007"</f>
        <v>00528007</v>
      </c>
      <c r="H1295">
        <v>50.4</v>
      </c>
      <c r="I1295">
        <v>0</v>
      </c>
      <c r="L1295">
        <v>4</v>
      </c>
      <c r="M1295">
        <v>4</v>
      </c>
      <c r="N1295">
        <v>4</v>
      </c>
      <c r="O1295">
        <v>0</v>
      </c>
      <c r="P1295">
        <v>58.4</v>
      </c>
      <c r="Q1295">
        <v>0</v>
      </c>
      <c r="R1295">
        <v>0</v>
      </c>
      <c r="S1295">
        <v>0</v>
      </c>
      <c r="T1295">
        <v>0</v>
      </c>
      <c r="U1295" s="1">
        <v>0</v>
      </c>
      <c r="V1295">
        <v>58.4</v>
      </c>
    </row>
    <row r="1296" spans="1:22" ht="15">
      <c r="A1296" s="4">
        <v>1289</v>
      </c>
      <c r="B1296">
        <v>2475</v>
      </c>
      <c r="C1296" t="s">
        <v>2946</v>
      </c>
      <c r="D1296" t="s">
        <v>1407</v>
      </c>
      <c r="E1296" t="s">
        <v>23</v>
      </c>
      <c r="F1296" t="s">
        <v>2947</v>
      </c>
      <c r="G1296" t="str">
        <f>"00442225"</f>
        <v>00442225</v>
      </c>
      <c r="H1296">
        <v>50.4</v>
      </c>
      <c r="I1296">
        <v>0</v>
      </c>
      <c r="M1296">
        <v>0</v>
      </c>
      <c r="N1296">
        <v>0</v>
      </c>
      <c r="O1296">
        <v>0</v>
      </c>
      <c r="P1296">
        <v>50.4</v>
      </c>
      <c r="Q1296">
        <v>8</v>
      </c>
      <c r="R1296">
        <v>8</v>
      </c>
      <c r="S1296">
        <v>0</v>
      </c>
      <c r="T1296">
        <v>0</v>
      </c>
      <c r="U1296" s="1">
        <v>0</v>
      </c>
      <c r="V1296">
        <v>58.4</v>
      </c>
    </row>
    <row r="1297" spans="1:22" ht="15">
      <c r="A1297" s="4">
        <v>1290</v>
      </c>
      <c r="B1297">
        <v>865</v>
      </c>
      <c r="C1297" t="s">
        <v>2948</v>
      </c>
      <c r="D1297" t="s">
        <v>799</v>
      </c>
      <c r="E1297" t="s">
        <v>59</v>
      </c>
      <c r="F1297" t="s">
        <v>2949</v>
      </c>
      <c r="G1297" t="str">
        <f>"00499501"</f>
        <v>00499501</v>
      </c>
      <c r="H1297">
        <v>50.4</v>
      </c>
      <c r="I1297">
        <v>0</v>
      </c>
      <c r="L1297">
        <v>4</v>
      </c>
      <c r="M1297">
        <v>4</v>
      </c>
      <c r="N1297">
        <v>4</v>
      </c>
      <c r="O1297">
        <v>0</v>
      </c>
      <c r="P1297">
        <v>58.4</v>
      </c>
      <c r="Q1297">
        <v>0</v>
      </c>
      <c r="R1297">
        <v>0</v>
      </c>
      <c r="S1297">
        <v>0</v>
      </c>
      <c r="T1297">
        <v>0</v>
      </c>
      <c r="U1297" s="1">
        <v>0</v>
      </c>
      <c r="V1297">
        <v>58.4</v>
      </c>
    </row>
    <row r="1298" spans="1:22" ht="15">
      <c r="A1298" s="4">
        <v>1291</v>
      </c>
      <c r="B1298">
        <v>2428</v>
      </c>
      <c r="C1298" t="s">
        <v>2950</v>
      </c>
      <c r="D1298" t="s">
        <v>839</v>
      </c>
      <c r="E1298" t="s">
        <v>201</v>
      </c>
      <c r="F1298" t="s">
        <v>2951</v>
      </c>
      <c r="G1298" t="str">
        <f>"201511020941"</f>
        <v>201511020941</v>
      </c>
      <c r="H1298">
        <v>21.52</v>
      </c>
      <c r="I1298">
        <v>0</v>
      </c>
      <c r="M1298">
        <v>4</v>
      </c>
      <c r="N1298">
        <v>0</v>
      </c>
      <c r="O1298">
        <v>0</v>
      </c>
      <c r="P1298">
        <v>25.52</v>
      </c>
      <c r="Q1298">
        <v>0</v>
      </c>
      <c r="R1298">
        <v>0</v>
      </c>
      <c r="S1298">
        <v>6</v>
      </c>
      <c r="T1298">
        <v>26.8</v>
      </c>
      <c r="U1298" s="1">
        <v>0</v>
      </c>
      <c r="V1298">
        <v>58.32</v>
      </c>
    </row>
    <row r="1299" spans="1:22" ht="15">
      <c r="A1299" s="4">
        <v>1292</v>
      </c>
      <c r="B1299">
        <v>116</v>
      </c>
      <c r="C1299" t="s">
        <v>2952</v>
      </c>
      <c r="D1299" t="s">
        <v>447</v>
      </c>
      <c r="E1299" t="s">
        <v>30</v>
      </c>
      <c r="F1299" t="s">
        <v>2953</v>
      </c>
      <c r="G1299" t="str">
        <f>"201511006937"</f>
        <v>201511006937</v>
      </c>
      <c r="H1299">
        <v>21.08</v>
      </c>
      <c r="I1299">
        <v>0</v>
      </c>
      <c r="M1299">
        <v>4</v>
      </c>
      <c r="N1299">
        <v>0</v>
      </c>
      <c r="O1299">
        <v>2</v>
      </c>
      <c r="P1299">
        <v>27.08</v>
      </c>
      <c r="Q1299">
        <v>31</v>
      </c>
      <c r="R1299">
        <v>31</v>
      </c>
      <c r="S1299">
        <v>0</v>
      </c>
      <c r="T1299">
        <v>0</v>
      </c>
      <c r="U1299" s="1">
        <v>0</v>
      </c>
      <c r="V1299">
        <v>58.08</v>
      </c>
    </row>
    <row r="1300" spans="1:22" ht="15">
      <c r="A1300" s="4">
        <v>1293</v>
      </c>
      <c r="B1300">
        <v>2546</v>
      </c>
      <c r="C1300" t="s">
        <v>2954</v>
      </c>
      <c r="D1300" t="s">
        <v>621</v>
      </c>
      <c r="E1300" t="s">
        <v>23</v>
      </c>
      <c r="F1300" t="s">
        <v>2955</v>
      </c>
      <c r="G1300" t="str">
        <f>"00534266"</f>
        <v>00534266</v>
      </c>
      <c r="H1300">
        <v>40</v>
      </c>
      <c r="I1300">
        <v>10</v>
      </c>
      <c r="L1300">
        <v>4</v>
      </c>
      <c r="M1300">
        <v>4</v>
      </c>
      <c r="N1300">
        <v>4</v>
      </c>
      <c r="O1300">
        <v>0</v>
      </c>
      <c r="P1300">
        <v>58</v>
      </c>
      <c r="Q1300">
        <v>0</v>
      </c>
      <c r="R1300">
        <v>0</v>
      </c>
      <c r="S1300">
        <v>0</v>
      </c>
      <c r="T1300">
        <v>0</v>
      </c>
      <c r="U1300" s="1">
        <v>0</v>
      </c>
      <c r="V1300">
        <v>58</v>
      </c>
    </row>
    <row r="1301" spans="1:22" ht="15">
      <c r="A1301" s="4">
        <v>1294</v>
      </c>
      <c r="B1301">
        <v>1871</v>
      </c>
      <c r="C1301" t="s">
        <v>2956</v>
      </c>
      <c r="D1301" t="s">
        <v>29</v>
      </c>
      <c r="E1301" t="s">
        <v>15</v>
      </c>
      <c r="F1301" t="s">
        <v>2957</v>
      </c>
      <c r="G1301" t="str">
        <f>"00149044"</f>
        <v>00149044</v>
      </c>
      <c r="H1301">
        <v>0</v>
      </c>
      <c r="I1301">
        <v>0</v>
      </c>
      <c r="L1301">
        <v>4</v>
      </c>
      <c r="M1301">
        <v>0</v>
      </c>
      <c r="N1301">
        <v>4</v>
      </c>
      <c r="O1301">
        <v>0</v>
      </c>
      <c r="P1301">
        <v>4</v>
      </c>
      <c r="Q1301">
        <v>51</v>
      </c>
      <c r="R1301">
        <v>51</v>
      </c>
      <c r="S1301">
        <v>3</v>
      </c>
      <c r="T1301">
        <v>0</v>
      </c>
      <c r="U1301" s="1">
        <v>0</v>
      </c>
      <c r="V1301">
        <v>58</v>
      </c>
    </row>
    <row r="1302" spans="1:22" ht="15">
      <c r="A1302" s="4">
        <v>1295</v>
      </c>
      <c r="B1302">
        <v>3413</v>
      </c>
      <c r="C1302" t="s">
        <v>718</v>
      </c>
      <c r="D1302" t="s">
        <v>29</v>
      </c>
      <c r="E1302" t="s">
        <v>73</v>
      </c>
      <c r="F1302" t="s">
        <v>2958</v>
      </c>
      <c r="G1302" t="str">
        <f>"00532875"</f>
        <v>00532875</v>
      </c>
      <c r="H1302">
        <v>36</v>
      </c>
      <c r="I1302">
        <v>10</v>
      </c>
      <c r="M1302">
        <v>4</v>
      </c>
      <c r="N1302">
        <v>0</v>
      </c>
      <c r="O1302">
        <v>2</v>
      </c>
      <c r="P1302">
        <v>52</v>
      </c>
      <c r="Q1302">
        <v>0</v>
      </c>
      <c r="R1302">
        <v>0</v>
      </c>
      <c r="S1302">
        <v>6</v>
      </c>
      <c r="T1302">
        <v>0</v>
      </c>
      <c r="U1302" s="1">
        <v>0</v>
      </c>
      <c r="V1302">
        <v>58</v>
      </c>
    </row>
    <row r="1303" spans="1:22" ht="15">
      <c r="A1303" s="4">
        <v>1296</v>
      </c>
      <c r="B1303">
        <v>1266</v>
      </c>
      <c r="C1303" t="s">
        <v>2959</v>
      </c>
      <c r="D1303" t="s">
        <v>40</v>
      </c>
      <c r="E1303" t="s">
        <v>90</v>
      </c>
      <c r="F1303" t="s">
        <v>2960</v>
      </c>
      <c r="G1303" t="str">
        <f>"00019694"</f>
        <v>00019694</v>
      </c>
      <c r="H1303">
        <v>40</v>
      </c>
      <c r="I1303">
        <v>10</v>
      </c>
      <c r="L1303">
        <v>4</v>
      </c>
      <c r="M1303">
        <v>4</v>
      </c>
      <c r="N1303">
        <v>4</v>
      </c>
      <c r="O1303">
        <v>0</v>
      </c>
      <c r="P1303">
        <v>58</v>
      </c>
      <c r="Q1303">
        <v>0</v>
      </c>
      <c r="R1303">
        <v>0</v>
      </c>
      <c r="S1303">
        <v>0</v>
      </c>
      <c r="T1303">
        <v>0</v>
      </c>
      <c r="U1303" s="1">
        <v>0</v>
      </c>
      <c r="V1303">
        <v>58</v>
      </c>
    </row>
    <row r="1304" spans="1:22" ht="15">
      <c r="A1304" s="4">
        <v>1297</v>
      </c>
      <c r="B1304">
        <v>563</v>
      </c>
      <c r="C1304" t="s">
        <v>2961</v>
      </c>
      <c r="D1304" t="s">
        <v>121</v>
      </c>
      <c r="E1304" t="s">
        <v>11</v>
      </c>
      <c r="F1304" t="s">
        <v>2962</v>
      </c>
      <c r="G1304" t="str">
        <f>"00528476"</f>
        <v>00528476</v>
      </c>
      <c r="H1304">
        <v>36</v>
      </c>
      <c r="I1304">
        <v>0</v>
      </c>
      <c r="J1304">
        <v>8</v>
      </c>
      <c r="M1304">
        <v>4</v>
      </c>
      <c r="N1304">
        <v>8</v>
      </c>
      <c r="O1304">
        <v>0</v>
      </c>
      <c r="P1304">
        <v>48</v>
      </c>
      <c r="Q1304">
        <v>4</v>
      </c>
      <c r="R1304">
        <v>4</v>
      </c>
      <c r="S1304">
        <v>6</v>
      </c>
      <c r="T1304">
        <v>0</v>
      </c>
      <c r="U1304" s="1">
        <v>0</v>
      </c>
      <c r="V1304">
        <v>58</v>
      </c>
    </row>
    <row r="1305" spans="1:22" ht="15">
      <c r="A1305" s="4">
        <v>1298</v>
      </c>
      <c r="B1305">
        <v>2607</v>
      </c>
      <c r="C1305" t="s">
        <v>2963</v>
      </c>
      <c r="D1305" t="s">
        <v>40</v>
      </c>
      <c r="E1305" t="s">
        <v>19</v>
      </c>
      <c r="F1305" t="s">
        <v>2964</v>
      </c>
      <c r="G1305" t="str">
        <f>"201604002275"</f>
        <v>201604002275</v>
      </c>
      <c r="H1305">
        <v>40</v>
      </c>
      <c r="I1305">
        <v>0</v>
      </c>
      <c r="J1305">
        <v>8</v>
      </c>
      <c r="M1305">
        <v>4</v>
      </c>
      <c r="N1305">
        <v>8</v>
      </c>
      <c r="O1305">
        <v>0</v>
      </c>
      <c r="P1305">
        <v>52</v>
      </c>
      <c r="Q1305">
        <v>0</v>
      </c>
      <c r="R1305">
        <v>0</v>
      </c>
      <c r="S1305">
        <v>6</v>
      </c>
      <c r="T1305">
        <v>0</v>
      </c>
      <c r="U1305" s="1">
        <v>0</v>
      </c>
      <c r="V1305">
        <v>58</v>
      </c>
    </row>
    <row r="1306" spans="1:22" ht="15">
      <c r="A1306" s="4">
        <v>1299</v>
      </c>
      <c r="B1306">
        <v>3126</v>
      </c>
      <c r="C1306" t="s">
        <v>2315</v>
      </c>
      <c r="D1306" t="s">
        <v>40</v>
      </c>
      <c r="E1306" t="s">
        <v>11</v>
      </c>
      <c r="F1306" t="s">
        <v>2965</v>
      </c>
      <c r="G1306" t="str">
        <f>"00189344"</f>
        <v>00189344</v>
      </c>
      <c r="H1306">
        <v>36</v>
      </c>
      <c r="I1306">
        <v>0</v>
      </c>
      <c r="M1306">
        <v>4</v>
      </c>
      <c r="N1306">
        <v>0</v>
      </c>
      <c r="O1306">
        <v>0</v>
      </c>
      <c r="P1306">
        <v>40</v>
      </c>
      <c r="Q1306">
        <v>6</v>
      </c>
      <c r="R1306">
        <v>6</v>
      </c>
      <c r="S1306">
        <v>12</v>
      </c>
      <c r="T1306">
        <v>0</v>
      </c>
      <c r="U1306" s="1">
        <v>0</v>
      </c>
      <c r="V1306">
        <v>58</v>
      </c>
    </row>
    <row r="1307" spans="1:22" ht="15">
      <c r="A1307" s="4">
        <v>1300</v>
      </c>
      <c r="B1307">
        <v>3236</v>
      </c>
      <c r="C1307" t="s">
        <v>2966</v>
      </c>
      <c r="D1307" t="s">
        <v>621</v>
      </c>
      <c r="E1307" t="s">
        <v>197</v>
      </c>
      <c r="F1307" t="s">
        <v>2967</v>
      </c>
      <c r="G1307" t="str">
        <f>"201406008390"</f>
        <v>201406008390</v>
      </c>
      <c r="H1307">
        <v>36</v>
      </c>
      <c r="I1307">
        <v>0</v>
      </c>
      <c r="J1307">
        <v>16</v>
      </c>
      <c r="M1307">
        <v>4</v>
      </c>
      <c r="N1307">
        <v>16</v>
      </c>
      <c r="O1307">
        <v>2</v>
      </c>
      <c r="P1307">
        <v>58</v>
      </c>
      <c r="Q1307">
        <v>0</v>
      </c>
      <c r="R1307">
        <v>0</v>
      </c>
      <c r="S1307">
        <v>0</v>
      </c>
      <c r="T1307">
        <v>0</v>
      </c>
      <c r="U1307" s="1">
        <v>0</v>
      </c>
      <c r="V1307">
        <v>58</v>
      </c>
    </row>
    <row r="1308" spans="1:22" ht="15">
      <c r="A1308" s="4">
        <v>1301</v>
      </c>
      <c r="B1308">
        <v>387</v>
      </c>
      <c r="C1308" t="s">
        <v>2504</v>
      </c>
      <c r="D1308" t="s">
        <v>1029</v>
      </c>
      <c r="E1308" t="s">
        <v>19</v>
      </c>
      <c r="F1308" t="s">
        <v>2968</v>
      </c>
      <c r="G1308" t="str">
        <f>"00505227"</f>
        <v>00505227</v>
      </c>
      <c r="H1308">
        <v>36</v>
      </c>
      <c r="I1308">
        <v>10</v>
      </c>
      <c r="L1308">
        <v>4</v>
      </c>
      <c r="M1308">
        <v>4</v>
      </c>
      <c r="N1308">
        <v>4</v>
      </c>
      <c r="O1308">
        <v>0</v>
      </c>
      <c r="P1308">
        <v>54</v>
      </c>
      <c r="Q1308">
        <v>4</v>
      </c>
      <c r="R1308">
        <v>4</v>
      </c>
      <c r="S1308">
        <v>0</v>
      </c>
      <c r="T1308">
        <v>0</v>
      </c>
      <c r="U1308" s="1">
        <v>0</v>
      </c>
      <c r="V1308">
        <v>58</v>
      </c>
    </row>
    <row r="1309" spans="1:22" ht="15">
      <c r="A1309" s="4">
        <v>1302</v>
      </c>
      <c r="B1309">
        <v>730</v>
      </c>
      <c r="C1309" t="s">
        <v>413</v>
      </c>
      <c r="D1309" t="s">
        <v>76</v>
      </c>
      <c r="E1309" t="s">
        <v>73</v>
      </c>
      <c r="F1309" t="s">
        <v>2969</v>
      </c>
      <c r="G1309" t="str">
        <f>"201511008311"</f>
        <v>201511008311</v>
      </c>
      <c r="H1309">
        <v>38.8</v>
      </c>
      <c r="I1309">
        <v>10</v>
      </c>
      <c r="M1309">
        <v>4</v>
      </c>
      <c r="N1309">
        <v>0</v>
      </c>
      <c r="O1309">
        <v>2</v>
      </c>
      <c r="P1309">
        <v>54.8</v>
      </c>
      <c r="Q1309">
        <v>0</v>
      </c>
      <c r="R1309">
        <v>0</v>
      </c>
      <c r="S1309">
        <v>3</v>
      </c>
      <c r="T1309">
        <v>0</v>
      </c>
      <c r="U1309" s="1">
        <v>0</v>
      </c>
      <c r="V1309">
        <v>57.8</v>
      </c>
    </row>
    <row r="1310" spans="1:22" ht="15">
      <c r="A1310" s="4">
        <v>1303</v>
      </c>
      <c r="B1310">
        <v>2082</v>
      </c>
      <c r="C1310" t="s">
        <v>2970</v>
      </c>
      <c r="D1310" t="s">
        <v>892</v>
      </c>
      <c r="E1310" t="s">
        <v>73</v>
      </c>
      <c r="F1310" t="s">
        <v>2971</v>
      </c>
      <c r="G1310" t="str">
        <f>"00474607"</f>
        <v>00474607</v>
      </c>
      <c r="H1310">
        <v>28.8</v>
      </c>
      <c r="I1310">
        <v>0</v>
      </c>
      <c r="L1310">
        <v>4</v>
      </c>
      <c r="M1310">
        <v>4</v>
      </c>
      <c r="N1310">
        <v>4</v>
      </c>
      <c r="O1310">
        <v>0</v>
      </c>
      <c r="P1310">
        <v>36.8</v>
      </c>
      <c r="Q1310">
        <v>18</v>
      </c>
      <c r="R1310">
        <v>18</v>
      </c>
      <c r="S1310">
        <v>3</v>
      </c>
      <c r="T1310">
        <v>0</v>
      </c>
      <c r="U1310" s="1">
        <v>0</v>
      </c>
      <c r="V1310">
        <v>57.8</v>
      </c>
    </row>
    <row r="1311" spans="1:22" ht="15">
      <c r="A1311" s="4">
        <v>1304</v>
      </c>
      <c r="B1311">
        <v>1347</v>
      </c>
      <c r="C1311" t="s">
        <v>2972</v>
      </c>
      <c r="D1311" t="s">
        <v>40</v>
      </c>
      <c r="E1311" t="s">
        <v>11</v>
      </c>
      <c r="F1311" t="s">
        <v>2973</v>
      </c>
      <c r="G1311" t="str">
        <f>"00531438"</f>
        <v>00531438</v>
      </c>
      <c r="H1311">
        <v>28.8</v>
      </c>
      <c r="I1311">
        <v>0</v>
      </c>
      <c r="M1311">
        <v>4</v>
      </c>
      <c r="N1311">
        <v>0</v>
      </c>
      <c r="O1311">
        <v>0</v>
      </c>
      <c r="P1311">
        <v>32.8</v>
      </c>
      <c r="Q1311">
        <v>25</v>
      </c>
      <c r="R1311">
        <v>25</v>
      </c>
      <c r="S1311">
        <v>0</v>
      </c>
      <c r="T1311">
        <v>0</v>
      </c>
      <c r="U1311" s="1" t="s">
        <v>6251</v>
      </c>
      <c r="V1311">
        <v>57.8</v>
      </c>
    </row>
    <row r="1312" spans="1:22" ht="15">
      <c r="A1312" s="4">
        <v>1305</v>
      </c>
      <c r="B1312">
        <v>2892</v>
      </c>
      <c r="C1312" t="s">
        <v>2560</v>
      </c>
      <c r="D1312" t="s">
        <v>89</v>
      </c>
      <c r="E1312" t="s">
        <v>19</v>
      </c>
      <c r="F1312" t="s">
        <v>2974</v>
      </c>
      <c r="G1312" t="str">
        <f>"00529784"</f>
        <v>00529784</v>
      </c>
      <c r="H1312">
        <v>44.78</v>
      </c>
      <c r="I1312">
        <v>0</v>
      </c>
      <c r="M1312">
        <v>4</v>
      </c>
      <c r="N1312">
        <v>0</v>
      </c>
      <c r="O1312">
        <v>0</v>
      </c>
      <c r="P1312">
        <v>48.78</v>
      </c>
      <c r="Q1312">
        <v>0</v>
      </c>
      <c r="R1312">
        <v>0</v>
      </c>
      <c r="S1312">
        <v>9</v>
      </c>
      <c r="T1312">
        <v>0</v>
      </c>
      <c r="U1312" s="1">
        <v>0</v>
      </c>
      <c r="V1312">
        <v>57.78</v>
      </c>
    </row>
    <row r="1313" spans="1:22" ht="15">
      <c r="A1313" s="4">
        <v>1306</v>
      </c>
      <c r="B1313">
        <v>2796</v>
      </c>
      <c r="C1313" t="s">
        <v>2975</v>
      </c>
      <c r="D1313" t="s">
        <v>643</v>
      </c>
      <c r="E1313" t="s">
        <v>59</v>
      </c>
      <c r="F1313" t="s">
        <v>2976</v>
      </c>
      <c r="G1313" t="str">
        <f>"00513374"</f>
        <v>00513374</v>
      </c>
      <c r="H1313">
        <v>39.72</v>
      </c>
      <c r="I1313">
        <v>0</v>
      </c>
      <c r="M1313">
        <v>4</v>
      </c>
      <c r="N1313">
        <v>0</v>
      </c>
      <c r="O1313">
        <v>0</v>
      </c>
      <c r="P1313">
        <v>43.72</v>
      </c>
      <c r="Q1313">
        <v>8</v>
      </c>
      <c r="R1313">
        <v>8</v>
      </c>
      <c r="S1313">
        <v>6</v>
      </c>
      <c r="T1313">
        <v>0</v>
      </c>
      <c r="U1313" s="1">
        <v>0</v>
      </c>
      <c r="V1313">
        <v>57.72</v>
      </c>
    </row>
    <row r="1314" spans="1:22" ht="15">
      <c r="A1314" s="4">
        <v>1307</v>
      </c>
      <c r="B1314">
        <v>1650</v>
      </c>
      <c r="C1314" t="s">
        <v>2977</v>
      </c>
      <c r="D1314" t="s">
        <v>222</v>
      </c>
      <c r="E1314" t="s">
        <v>23</v>
      </c>
      <c r="F1314" t="s">
        <v>2978</v>
      </c>
      <c r="G1314" t="str">
        <f>"00515556"</f>
        <v>00515556</v>
      </c>
      <c r="H1314">
        <v>57.6</v>
      </c>
      <c r="I1314">
        <v>0</v>
      </c>
      <c r="M1314">
        <v>0</v>
      </c>
      <c r="N1314">
        <v>0</v>
      </c>
      <c r="O1314">
        <v>0</v>
      </c>
      <c r="P1314">
        <v>57.6</v>
      </c>
      <c r="Q1314">
        <v>0</v>
      </c>
      <c r="R1314">
        <v>0</v>
      </c>
      <c r="S1314">
        <v>0</v>
      </c>
      <c r="T1314">
        <v>0</v>
      </c>
      <c r="U1314" s="1">
        <v>0</v>
      </c>
      <c r="V1314">
        <v>57.6</v>
      </c>
    </row>
    <row r="1315" spans="1:22" ht="15">
      <c r="A1315" s="4">
        <v>1308</v>
      </c>
      <c r="B1315">
        <v>904</v>
      </c>
      <c r="C1315" t="s">
        <v>2979</v>
      </c>
      <c r="D1315" t="s">
        <v>173</v>
      </c>
      <c r="E1315" t="s">
        <v>1120</v>
      </c>
      <c r="F1315" t="s">
        <v>2980</v>
      </c>
      <c r="G1315" t="str">
        <f>"00528201"</f>
        <v>00528201</v>
      </c>
      <c r="H1315">
        <v>57.6</v>
      </c>
      <c r="I1315">
        <v>0</v>
      </c>
      <c r="M1315">
        <v>0</v>
      </c>
      <c r="N1315">
        <v>0</v>
      </c>
      <c r="O1315">
        <v>0</v>
      </c>
      <c r="P1315">
        <v>57.6</v>
      </c>
      <c r="Q1315">
        <v>0</v>
      </c>
      <c r="R1315">
        <v>0</v>
      </c>
      <c r="S1315">
        <v>0</v>
      </c>
      <c r="T1315">
        <v>0</v>
      </c>
      <c r="U1315" s="1">
        <v>0</v>
      </c>
      <c r="V1315">
        <v>57.6</v>
      </c>
    </row>
    <row r="1316" spans="1:22" ht="15">
      <c r="A1316" s="4">
        <v>1309</v>
      </c>
      <c r="B1316">
        <v>907</v>
      </c>
      <c r="C1316" t="s">
        <v>701</v>
      </c>
      <c r="D1316" t="s">
        <v>1361</v>
      </c>
      <c r="E1316" t="s">
        <v>90</v>
      </c>
      <c r="F1316" t="s">
        <v>2981</v>
      </c>
      <c r="G1316" t="str">
        <f>"00530686"</f>
        <v>00530686</v>
      </c>
      <c r="H1316">
        <v>57.6</v>
      </c>
      <c r="I1316">
        <v>0</v>
      </c>
      <c r="M1316">
        <v>0</v>
      </c>
      <c r="N1316">
        <v>0</v>
      </c>
      <c r="O1316">
        <v>0</v>
      </c>
      <c r="P1316">
        <v>57.6</v>
      </c>
      <c r="Q1316">
        <v>0</v>
      </c>
      <c r="R1316">
        <v>0</v>
      </c>
      <c r="S1316">
        <v>0</v>
      </c>
      <c r="T1316">
        <v>0</v>
      </c>
      <c r="U1316" s="1">
        <v>0</v>
      </c>
      <c r="V1316">
        <v>57.6</v>
      </c>
    </row>
    <row r="1317" spans="1:22" ht="15">
      <c r="A1317" s="4">
        <v>1310</v>
      </c>
      <c r="B1317">
        <v>942</v>
      </c>
      <c r="C1317" t="s">
        <v>2982</v>
      </c>
      <c r="D1317" t="s">
        <v>124</v>
      </c>
      <c r="E1317" t="s">
        <v>11</v>
      </c>
      <c r="F1317" t="s">
        <v>2983</v>
      </c>
      <c r="G1317" t="str">
        <f>"00282146"</f>
        <v>00282146</v>
      </c>
      <c r="H1317">
        <v>34.48</v>
      </c>
      <c r="I1317">
        <v>0</v>
      </c>
      <c r="L1317">
        <v>4</v>
      </c>
      <c r="M1317">
        <v>4</v>
      </c>
      <c r="N1317">
        <v>4</v>
      </c>
      <c r="O1317">
        <v>0</v>
      </c>
      <c r="P1317">
        <v>42.48</v>
      </c>
      <c r="Q1317">
        <v>6</v>
      </c>
      <c r="R1317">
        <v>6</v>
      </c>
      <c r="S1317">
        <v>9</v>
      </c>
      <c r="T1317">
        <v>0</v>
      </c>
      <c r="U1317" s="1">
        <v>0</v>
      </c>
      <c r="V1317">
        <v>57.48</v>
      </c>
    </row>
    <row r="1318" spans="1:22" ht="15">
      <c r="A1318" s="4">
        <v>1311</v>
      </c>
      <c r="B1318">
        <v>963</v>
      </c>
      <c r="C1318" t="s">
        <v>2984</v>
      </c>
      <c r="D1318" t="s">
        <v>127</v>
      </c>
      <c r="E1318" t="s">
        <v>90</v>
      </c>
      <c r="F1318" t="s">
        <v>2985</v>
      </c>
      <c r="G1318" t="str">
        <f>"00531268"</f>
        <v>00531268</v>
      </c>
      <c r="H1318">
        <v>50.4</v>
      </c>
      <c r="I1318">
        <v>0</v>
      </c>
      <c r="L1318">
        <v>4</v>
      </c>
      <c r="M1318">
        <v>0</v>
      </c>
      <c r="N1318">
        <v>4</v>
      </c>
      <c r="O1318">
        <v>0</v>
      </c>
      <c r="P1318">
        <v>54.4</v>
      </c>
      <c r="Q1318">
        <v>0</v>
      </c>
      <c r="R1318">
        <v>0</v>
      </c>
      <c r="S1318">
        <v>3</v>
      </c>
      <c r="T1318">
        <v>0</v>
      </c>
      <c r="U1318" s="1">
        <v>0</v>
      </c>
      <c r="V1318">
        <v>57.4</v>
      </c>
    </row>
    <row r="1319" spans="1:22" ht="15">
      <c r="A1319" s="4">
        <v>1312</v>
      </c>
      <c r="B1319">
        <v>207</v>
      </c>
      <c r="C1319" t="s">
        <v>2986</v>
      </c>
      <c r="D1319" t="s">
        <v>799</v>
      </c>
      <c r="E1319" t="s">
        <v>157</v>
      </c>
      <c r="F1319" t="s">
        <v>2987</v>
      </c>
      <c r="G1319" t="str">
        <f>"00289382"</f>
        <v>00289382</v>
      </c>
      <c r="H1319">
        <v>50.4</v>
      </c>
      <c r="I1319">
        <v>0</v>
      </c>
      <c r="M1319">
        <v>4</v>
      </c>
      <c r="N1319">
        <v>0</v>
      </c>
      <c r="O1319">
        <v>0</v>
      </c>
      <c r="P1319">
        <v>54.4</v>
      </c>
      <c r="Q1319">
        <v>0</v>
      </c>
      <c r="R1319">
        <v>0</v>
      </c>
      <c r="S1319">
        <v>3</v>
      </c>
      <c r="T1319">
        <v>0</v>
      </c>
      <c r="U1319" s="1">
        <v>0</v>
      </c>
      <c r="V1319">
        <v>57.4</v>
      </c>
    </row>
    <row r="1320" spans="1:22" ht="15">
      <c r="A1320" s="4">
        <v>1313</v>
      </c>
      <c r="B1320">
        <v>2476</v>
      </c>
      <c r="C1320" t="s">
        <v>2988</v>
      </c>
      <c r="D1320" t="s">
        <v>273</v>
      </c>
      <c r="E1320" t="s">
        <v>47</v>
      </c>
      <c r="F1320" t="s">
        <v>2989</v>
      </c>
      <c r="G1320" t="str">
        <f>"00481386"</f>
        <v>00481386</v>
      </c>
      <c r="H1320">
        <v>14.4</v>
      </c>
      <c r="I1320">
        <v>0</v>
      </c>
      <c r="M1320">
        <v>4</v>
      </c>
      <c r="N1320">
        <v>0</v>
      </c>
      <c r="O1320">
        <v>2</v>
      </c>
      <c r="P1320">
        <v>20.4</v>
      </c>
      <c r="Q1320">
        <v>31</v>
      </c>
      <c r="R1320">
        <v>31</v>
      </c>
      <c r="S1320">
        <v>6</v>
      </c>
      <c r="T1320">
        <v>0</v>
      </c>
      <c r="U1320" s="1">
        <v>0</v>
      </c>
      <c r="V1320">
        <v>57.4</v>
      </c>
    </row>
    <row r="1321" spans="1:22" ht="15">
      <c r="A1321" s="4">
        <v>1314</v>
      </c>
      <c r="B1321">
        <v>1257</v>
      </c>
      <c r="C1321" t="s">
        <v>2990</v>
      </c>
      <c r="D1321" t="s">
        <v>89</v>
      </c>
      <c r="E1321" t="s">
        <v>190</v>
      </c>
      <c r="F1321" t="s">
        <v>2991</v>
      </c>
      <c r="G1321" t="str">
        <f>"200809001031"</f>
        <v>200809001031</v>
      </c>
      <c r="H1321">
        <v>14.4</v>
      </c>
      <c r="I1321">
        <v>0</v>
      </c>
      <c r="M1321">
        <v>4</v>
      </c>
      <c r="N1321">
        <v>0</v>
      </c>
      <c r="O1321">
        <v>0</v>
      </c>
      <c r="P1321">
        <v>18.4</v>
      </c>
      <c r="Q1321">
        <v>0</v>
      </c>
      <c r="R1321">
        <v>0</v>
      </c>
      <c r="S1321">
        <v>3</v>
      </c>
      <c r="T1321">
        <v>36</v>
      </c>
      <c r="U1321" s="1">
        <v>0</v>
      </c>
      <c r="V1321">
        <v>57.4</v>
      </c>
    </row>
    <row r="1322" spans="1:22" ht="15">
      <c r="A1322" s="4">
        <v>1315</v>
      </c>
      <c r="B1322">
        <v>548</v>
      </c>
      <c r="C1322" t="s">
        <v>17</v>
      </c>
      <c r="D1322" t="s">
        <v>735</v>
      </c>
      <c r="E1322" t="s">
        <v>51</v>
      </c>
      <c r="F1322" t="s">
        <v>2992</v>
      </c>
      <c r="G1322" t="str">
        <f>"00521800"</f>
        <v>00521800</v>
      </c>
      <c r="H1322">
        <v>50.4</v>
      </c>
      <c r="I1322">
        <v>0</v>
      </c>
      <c r="M1322">
        <v>4</v>
      </c>
      <c r="N1322">
        <v>0</v>
      </c>
      <c r="O1322">
        <v>0</v>
      </c>
      <c r="P1322">
        <v>54.4</v>
      </c>
      <c r="Q1322">
        <v>0</v>
      </c>
      <c r="R1322">
        <v>0</v>
      </c>
      <c r="S1322">
        <v>3</v>
      </c>
      <c r="T1322">
        <v>0</v>
      </c>
      <c r="U1322" s="1">
        <v>0</v>
      </c>
      <c r="V1322">
        <v>57.4</v>
      </c>
    </row>
    <row r="1323" spans="1:22" ht="15">
      <c r="A1323" s="4">
        <v>1316</v>
      </c>
      <c r="B1323">
        <v>112</v>
      </c>
      <c r="C1323" t="s">
        <v>1001</v>
      </c>
      <c r="D1323" t="s">
        <v>477</v>
      </c>
      <c r="E1323" t="s">
        <v>344</v>
      </c>
      <c r="F1323" t="s">
        <v>2993</v>
      </c>
      <c r="G1323" t="str">
        <f>"00508462"</f>
        <v>00508462</v>
      </c>
      <c r="H1323">
        <v>21.6</v>
      </c>
      <c r="I1323">
        <v>0</v>
      </c>
      <c r="M1323">
        <v>4</v>
      </c>
      <c r="N1323">
        <v>0</v>
      </c>
      <c r="O1323">
        <v>2</v>
      </c>
      <c r="P1323">
        <v>27.6</v>
      </c>
      <c r="Q1323">
        <v>0</v>
      </c>
      <c r="R1323">
        <v>0</v>
      </c>
      <c r="S1323">
        <v>3</v>
      </c>
      <c r="T1323">
        <v>26.8</v>
      </c>
      <c r="U1323" s="1">
        <v>0</v>
      </c>
      <c r="V1323">
        <v>57.4</v>
      </c>
    </row>
    <row r="1324" spans="1:22" ht="15">
      <c r="A1324" s="4">
        <v>1317</v>
      </c>
      <c r="B1324">
        <v>1083</v>
      </c>
      <c r="C1324" t="s">
        <v>192</v>
      </c>
      <c r="D1324" t="s">
        <v>2994</v>
      </c>
      <c r="E1324" t="s">
        <v>83</v>
      </c>
      <c r="F1324" t="s">
        <v>2995</v>
      </c>
      <c r="G1324" t="str">
        <f>"00524947"</f>
        <v>00524947</v>
      </c>
      <c r="H1324">
        <v>16.36</v>
      </c>
      <c r="I1324">
        <v>0</v>
      </c>
      <c r="L1324">
        <v>4</v>
      </c>
      <c r="M1324">
        <v>4</v>
      </c>
      <c r="N1324">
        <v>4</v>
      </c>
      <c r="O1324">
        <v>0</v>
      </c>
      <c r="P1324">
        <v>24.36</v>
      </c>
      <c r="Q1324">
        <v>33</v>
      </c>
      <c r="R1324">
        <v>33</v>
      </c>
      <c r="S1324">
        <v>0</v>
      </c>
      <c r="T1324">
        <v>0</v>
      </c>
      <c r="U1324" s="1">
        <v>0</v>
      </c>
      <c r="V1324">
        <v>57.36</v>
      </c>
    </row>
    <row r="1325" spans="1:22" ht="15">
      <c r="A1325" s="4">
        <v>1318</v>
      </c>
      <c r="B1325">
        <v>3193</v>
      </c>
      <c r="C1325" t="s">
        <v>2996</v>
      </c>
      <c r="D1325" t="s">
        <v>2997</v>
      </c>
      <c r="E1325" t="s">
        <v>11</v>
      </c>
      <c r="F1325" t="s">
        <v>2998</v>
      </c>
      <c r="G1325" t="str">
        <f>"00529984"</f>
        <v>00529984</v>
      </c>
      <c r="H1325">
        <v>33.32</v>
      </c>
      <c r="I1325">
        <v>10</v>
      </c>
      <c r="L1325">
        <v>4</v>
      </c>
      <c r="M1325">
        <v>4</v>
      </c>
      <c r="N1325">
        <v>4</v>
      </c>
      <c r="O1325">
        <v>0</v>
      </c>
      <c r="P1325">
        <v>51.32</v>
      </c>
      <c r="Q1325">
        <v>0</v>
      </c>
      <c r="R1325">
        <v>0</v>
      </c>
      <c r="S1325">
        <v>6</v>
      </c>
      <c r="T1325">
        <v>0</v>
      </c>
      <c r="U1325" s="1">
        <v>0</v>
      </c>
      <c r="V1325">
        <v>57.32</v>
      </c>
    </row>
    <row r="1326" spans="1:22" ht="15">
      <c r="A1326" s="4">
        <v>1319</v>
      </c>
      <c r="B1326">
        <v>1197</v>
      </c>
      <c r="C1326" t="s">
        <v>2999</v>
      </c>
      <c r="D1326" t="s">
        <v>14</v>
      </c>
      <c r="E1326" t="s">
        <v>90</v>
      </c>
      <c r="F1326" t="s">
        <v>3000</v>
      </c>
      <c r="G1326" t="str">
        <f>"00163441"</f>
        <v>00163441</v>
      </c>
      <c r="H1326">
        <v>30.28</v>
      </c>
      <c r="I1326">
        <v>0</v>
      </c>
      <c r="M1326">
        <v>4</v>
      </c>
      <c r="N1326">
        <v>0</v>
      </c>
      <c r="O1326">
        <v>0</v>
      </c>
      <c r="P1326">
        <v>34.28</v>
      </c>
      <c r="Q1326">
        <v>23</v>
      </c>
      <c r="R1326">
        <v>23</v>
      </c>
      <c r="S1326">
        <v>0</v>
      </c>
      <c r="T1326">
        <v>0</v>
      </c>
      <c r="U1326" s="1">
        <v>0</v>
      </c>
      <c r="V1326">
        <v>57.28</v>
      </c>
    </row>
    <row r="1327" spans="1:22" ht="15">
      <c r="A1327" s="4">
        <v>1320</v>
      </c>
      <c r="B1327">
        <v>2379</v>
      </c>
      <c r="C1327" t="s">
        <v>3001</v>
      </c>
      <c r="D1327" t="s">
        <v>193</v>
      </c>
      <c r="E1327" t="s">
        <v>83</v>
      </c>
      <c r="F1327" t="s">
        <v>3002</v>
      </c>
      <c r="G1327" t="str">
        <f>"00512112"</f>
        <v>00512112</v>
      </c>
      <c r="H1327">
        <v>27.28</v>
      </c>
      <c r="I1327">
        <v>10</v>
      </c>
      <c r="M1327">
        <v>4</v>
      </c>
      <c r="N1327">
        <v>0</v>
      </c>
      <c r="O1327">
        <v>0</v>
      </c>
      <c r="P1327">
        <v>41.28</v>
      </c>
      <c r="Q1327">
        <v>16</v>
      </c>
      <c r="R1327">
        <v>16</v>
      </c>
      <c r="S1327">
        <v>0</v>
      </c>
      <c r="T1327">
        <v>0</v>
      </c>
      <c r="U1327" s="1">
        <v>0</v>
      </c>
      <c r="V1327">
        <v>57.28</v>
      </c>
    </row>
    <row r="1328" spans="1:22" ht="15">
      <c r="A1328" s="4">
        <v>1321</v>
      </c>
      <c r="B1328">
        <v>2013</v>
      </c>
      <c r="C1328" t="s">
        <v>3003</v>
      </c>
      <c r="D1328" t="s">
        <v>89</v>
      </c>
      <c r="E1328" t="s">
        <v>344</v>
      </c>
      <c r="F1328" t="s">
        <v>3004</v>
      </c>
      <c r="G1328" t="str">
        <f>"00441613"</f>
        <v>00441613</v>
      </c>
      <c r="H1328">
        <v>27.28</v>
      </c>
      <c r="I1328">
        <v>10</v>
      </c>
      <c r="M1328">
        <v>4</v>
      </c>
      <c r="N1328">
        <v>0</v>
      </c>
      <c r="O1328">
        <v>0</v>
      </c>
      <c r="P1328">
        <v>41.28</v>
      </c>
      <c r="Q1328">
        <v>16</v>
      </c>
      <c r="R1328">
        <v>16</v>
      </c>
      <c r="S1328">
        <v>0</v>
      </c>
      <c r="T1328">
        <v>0</v>
      </c>
      <c r="U1328" s="1">
        <v>0</v>
      </c>
      <c r="V1328">
        <v>57.28</v>
      </c>
    </row>
    <row r="1329" spans="1:22" ht="15">
      <c r="A1329" s="4">
        <v>1322</v>
      </c>
      <c r="B1329">
        <v>2465</v>
      </c>
      <c r="C1329" t="s">
        <v>3005</v>
      </c>
      <c r="D1329" t="s">
        <v>14</v>
      </c>
      <c r="E1329" t="s">
        <v>73</v>
      </c>
      <c r="F1329" t="s">
        <v>3006</v>
      </c>
      <c r="G1329" t="str">
        <f>"00530070"</f>
        <v>00530070</v>
      </c>
      <c r="H1329">
        <v>21.44</v>
      </c>
      <c r="I1329">
        <v>0</v>
      </c>
      <c r="M1329">
        <v>0</v>
      </c>
      <c r="N1329">
        <v>0</v>
      </c>
      <c r="O1329">
        <v>0</v>
      </c>
      <c r="P1329">
        <v>21.44</v>
      </c>
      <c r="Q1329">
        <v>0</v>
      </c>
      <c r="R1329">
        <v>0</v>
      </c>
      <c r="S1329">
        <v>9</v>
      </c>
      <c r="T1329">
        <v>26.8</v>
      </c>
      <c r="U1329" s="1">
        <v>0</v>
      </c>
      <c r="V1329">
        <v>57.24</v>
      </c>
    </row>
    <row r="1330" spans="1:22" ht="15">
      <c r="A1330" s="4">
        <v>1323</v>
      </c>
      <c r="B1330">
        <v>1300</v>
      </c>
      <c r="C1330" t="s">
        <v>3007</v>
      </c>
      <c r="D1330" t="s">
        <v>280</v>
      </c>
      <c r="E1330" t="s">
        <v>23</v>
      </c>
      <c r="F1330" t="s">
        <v>3008</v>
      </c>
      <c r="G1330" t="str">
        <f>"201511016849"</f>
        <v>201511016849</v>
      </c>
      <c r="H1330">
        <v>39.2</v>
      </c>
      <c r="I1330">
        <v>10</v>
      </c>
      <c r="L1330">
        <v>4</v>
      </c>
      <c r="M1330">
        <v>4</v>
      </c>
      <c r="N1330">
        <v>4</v>
      </c>
      <c r="O1330">
        <v>0</v>
      </c>
      <c r="P1330">
        <v>57.2</v>
      </c>
      <c r="Q1330">
        <v>0</v>
      </c>
      <c r="R1330">
        <v>0</v>
      </c>
      <c r="S1330">
        <v>0</v>
      </c>
      <c r="T1330">
        <v>0</v>
      </c>
      <c r="U1330" s="1">
        <v>0</v>
      </c>
      <c r="V1330">
        <v>57.2</v>
      </c>
    </row>
    <row r="1331" spans="1:22" ht="15">
      <c r="A1331" s="4">
        <v>1324</v>
      </c>
      <c r="B1331">
        <v>1682</v>
      </c>
      <c r="C1331" t="s">
        <v>935</v>
      </c>
      <c r="D1331" t="s">
        <v>643</v>
      </c>
      <c r="E1331" t="s">
        <v>83</v>
      </c>
      <c r="F1331" t="s">
        <v>3009</v>
      </c>
      <c r="G1331" t="str">
        <f>"00514169"</f>
        <v>00514169</v>
      </c>
      <c r="H1331">
        <v>43.2</v>
      </c>
      <c r="I1331">
        <v>10</v>
      </c>
      <c r="M1331">
        <v>4</v>
      </c>
      <c r="N1331">
        <v>0</v>
      </c>
      <c r="O1331">
        <v>0</v>
      </c>
      <c r="P1331">
        <v>57.2</v>
      </c>
      <c r="Q1331">
        <v>0</v>
      </c>
      <c r="R1331">
        <v>0</v>
      </c>
      <c r="S1331">
        <v>0</v>
      </c>
      <c r="T1331">
        <v>0</v>
      </c>
      <c r="U1331" s="1">
        <v>0</v>
      </c>
      <c r="V1331">
        <v>57.2</v>
      </c>
    </row>
    <row r="1332" spans="1:22" ht="15">
      <c r="A1332" s="4">
        <v>1325</v>
      </c>
      <c r="B1332">
        <v>1454</v>
      </c>
      <c r="C1332" t="s">
        <v>1282</v>
      </c>
      <c r="D1332" t="s">
        <v>68</v>
      </c>
      <c r="E1332" t="s">
        <v>73</v>
      </c>
      <c r="F1332" t="s">
        <v>3010</v>
      </c>
      <c r="G1332" t="str">
        <f>"00292016"</f>
        <v>00292016</v>
      </c>
      <c r="H1332">
        <v>43.2</v>
      </c>
      <c r="I1332">
        <v>0</v>
      </c>
      <c r="J1332">
        <v>8</v>
      </c>
      <c r="M1332">
        <v>0</v>
      </c>
      <c r="N1332">
        <v>8</v>
      </c>
      <c r="O1332">
        <v>0</v>
      </c>
      <c r="P1332">
        <v>51.2</v>
      </c>
      <c r="Q1332">
        <v>0</v>
      </c>
      <c r="R1332">
        <v>0</v>
      </c>
      <c r="S1332">
        <v>6</v>
      </c>
      <c r="T1332">
        <v>0</v>
      </c>
      <c r="U1332" s="1">
        <v>0</v>
      </c>
      <c r="V1332">
        <v>57.2</v>
      </c>
    </row>
    <row r="1333" spans="1:22" ht="15">
      <c r="A1333" s="4">
        <v>1326</v>
      </c>
      <c r="B1333">
        <v>1879</v>
      </c>
      <c r="C1333" t="s">
        <v>3011</v>
      </c>
      <c r="D1333" t="s">
        <v>68</v>
      </c>
      <c r="E1333" t="s">
        <v>1497</v>
      </c>
      <c r="F1333" t="s">
        <v>3012</v>
      </c>
      <c r="G1333" t="str">
        <f>"00527139"</f>
        <v>00527139</v>
      </c>
      <c r="H1333">
        <v>43.2</v>
      </c>
      <c r="I1333">
        <v>10</v>
      </c>
      <c r="M1333">
        <v>4</v>
      </c>
      <c r="N1333">
        <v>0</v>
      </c>
      <c r="O1333">
        <v>0</v>
      </c>
      <c r="P1333">
        <v>57.2</v>
      </c>
      <c r="Q1333">
        <v>0</v>
      </c>
      <c r="R1333">
        <v>0</v>
      </c>
      <c r="S1333">
        <v>0</v>
      </c>
      <c r="T1333">
        <v>0</v>
      </c>
      <c r="U1333" s="1">
        <v>0</v>
      </c>
      <c r="V1333">
        <v>57.2</v>
      </c>
    </row>
    <row r="1334" spans="1:22" ht="15">
      <c r="A1334" s="4">
        <v>1327</v>
      </c>
      <c r="B1334">
        <v>2899</v>
      </c>
      <c r="C1334" t="s">
        <v>3013</v>
      </c>
      <c r="D1334" t="s">
        <v>3014</v>
      </c>
      <c r="E1334" t="s">
        <v>447</v>
      </c>
      <c r="F1334" t="s">
        <v>3015</v>
      </c>
      <c r="G1334" t="str">
        <f>"00533470"</f>
        <v>00533470</v>
      </c>
      <c r="H1334">
        <v>7.2</v>
      </c>
      <c r="I1334">
        <v>0</v>
      </c>
      <c r="M1334">
        <v>0</v>
      </c>
      <c r="N1334">
        <v>0</v>
      </c>
      <c r="O1334">
        <v>0</v>
      </c>
      <c r="P1334">
        <v>7.2</v>
      </c>
      <c r="Q1334">
        <v>50</v>
      </c>
      <c r="R1334">
        <v>50</v>
      </c>
      <c r="S1334">
        <v>0</v>
      </c>
      <c r="T1334">
        <v>0</v>
      </c>
      <c r="U1334" s="1">
        <v>0</v>
      </c>
      <c r="V1334">
        <v>57.2</v>
      </c>
    </row>
    <row r="1335" spans="1:22" ht="15">
      <c r="A1335" s="4">
        <v>1328</v>
      </c>
      <c r="B1335">
        <v>1222</v>
      </c>
      <c r="C1335" t="s">
        <v>49</v>
      </c>
      <c r="D1335" t="s">
        <v>58</v>
      </c>
      <c r="E1335" t="s">
        <v>447</v>
      </c>
      <c r="F1335" t="s">
        <v>3016</v>
      </c>
      <c r="G1335" t="str">
        <f>"00515771"</f>
        <v>00515771</v>
      </c>
      <c r="H1335">
        <v>43.2</v>
      </c>
      <c r="I1335">
        <v>10</v>
      </c>
      <c r="M1335">
        <v>4</v>
      </c>
      <c r="N1335">
        <v>0</v>
      </c>
      <c r="O1335">
        <v>0</v>
      </c>
      <c r="P1335">
        <v>57.2</v>
      </c>
      <c r="Q1335">
        <v>0</v>
      </c>
      <c r="R1335">
        <v>0</v>
      </c>
      <c r="S1335">
        <v>0</v>
      </c>
      <c r="T1335">
        <v>0</v>
      </c>
      <c r="U1335" s="1">
        <v>0</v>
      </c>
      <c r="V1335">
        <v>57.2</v>
      </c>
    </row>
    <row r="1336" spans="1:22" ht="15">
      <c r="A1336" s="4">
        <v>1329</v>
      </c>
      <c r="B1336">
        <v>3211</v>
      </c>
      <c r="C1336" t="s">
        <v>3017</v>
      </c>
      <c r="D1336" t="s">
        <v>33</v>
      </c>
      <c r="E1336" t="s">
        <v>23</v>
      </c>
      <c r="F1336" t="s">
        <v>3018</v>
      </c>
      <c r="G1336" t="str">
        <f>"00390555"</f>
        <v>00390555</v>
      </c>
      <c r="H1336">
        <v>43.2</v>
      </c>
      <c r="I1336">
        <v>0</v>
      </c>
      <c r="L1336">
        <v>4</v>
      </c>
      <c r="M1336">
        <v>4</v>
      </c>
      <c r="N1336">
        <v>4</v>
      </c>
      <c r="O1336">
        <v>0</v>
      </c>
      <c r="P1336">
        <v>51.2</v>
      </c>
      <c r="Q1336">
        <v>3</v>
      </c>
      <c r="R1336">
        <v>3</v>
      </c>
      <c r="S1336">
        <v>3</v>
      </c>
      <c r="T1336">
        <v>0</v>
      </c>
      <c r="U1336" s="1">
        <v>0</v>
      </c>
      <c r="V1336">
        <v>57.2</v>
      </c>
    </row>
    <row r="1337" spans="1:22" ht="15">
      <c r="A1337" s="4">
        <v>1330</v>
      </c>
      <c r="B1337">
        <v>1140</v>
      </c>
      <c r="C1337" t="s">
        <v>3019</v>
      </c>
      <c r="D1337" t="s">
        <v>2755</v>
      </c>
      <c r="E1337" t="s">
        <v>317</v>
      </c>
      <c r="F1337" t="s">
        <v>3020</v>
      </c>
      <c r="G1337" t="str">
        <f>"00161071"</f>
        <v>00161071</v>
      </c>
      <c r="H1337">
        <v>7.2</v>
      </c>
      <c r="I1337">
        <v>10</v>
      </c>
      <c r="L1337">
        <v>4</v>
      </c>
      <c r="M1337">
        <v>4</v>
      </c>
      <c r="N1337">
        <v>4</v>
      </c>
      <c r="O1337">
        <v>0</v>
      </c>
      <c r="P1337">
        <v>25.2</v>
      </c>
      <c r="Q1337">
        <v>32</v>
      </c>
      <c r="R1337">
        <v>32</v>
      </c>
      <c r="S1337">
        <v>0</v>
      </c>
      <c r="T1337">
        <v>0</v>
      </c>
      <c r="U1337" s="1">
        <v>0</v>
      </c>
      <c r="V1337">
        <v>57.2</v>
      </c>
    </row>
    <row r="1338" spans="1:22" ht="15">
      <c r="A1338" s="4">
        <v>1331</v>
      </c>
      <c r="B1338">
        <v>591</v>
      </c>
      <c r="C1338" t="s">
        <v>3021</v>
      </c>
      <c r="D1338" t="s">
        <v>679</v>
      </c>
      <c r="E1338" t="s">
        <v>90</v>
      </c>
      <c r="F1338" t="s">
        <v>3022</v>
      </c>
      <c r="G1338" t="str">
        <f>"00150050"</f>
        <v>00150050</v>
      </c>
      <c r="H1338">
        <v>43.2</v>
      </c>
      <c r="I1338">
        <v>0</v>
      </c>
      <c r="L1338">
        <v>8</v>
      </c>
      <c r="M1338">
        <v>4</v>
      </c>
      <c r="N1338">
        <v>8</v>
      </c>
      <c r="O1338">
        <v>2</v>
      </c>
      <c r="P1338">
        <v>57.2</v>
      </c>
      <c r="Q1338">
        <v>0</v>
      </c>
      <c r="R1338">
        <v>0</v>
      </c>
      <c r="S1338">
        <v>0</v>
      </c>
      <c r="T1338">
        <v>0</v>
      </c>
      <c r="U1338" s="1">
        <v>0</v>
      </c>
      <c r="V1338">
        <v>57.2</v>
      </c>
    </row>
    <row r="1339" spans="1:22" ht="15">
      <c r="A1339" s="4">
        <v>1332</v>
      </c>
      <c r="B1339">
        <v>1585</v>
      </c>
      <c r="C1339" t="s">
        <v>377</v>
      </c>
      <c r="D1339" t="s">
        <v>111</v>
      </c>
      <c r="E1339" t="s">
        <v>3023</v>
      </c>
      <c r="F1339" t="s">
        <v>3024</v>
      </c>
      <c r="G1339" t="str">
        <f>"00164064"</f>
        <v>00164064</v>
      </c>
      <c r="H1339">
        <v>43.2</v>
      </c>
      <c r="I1339">
        <v>0</v>
      </c>
      <c r="L1339">
        <v>4</v>
      </c>
      <c r="M1339">
        <v>4</v>
      </c>
      <c r="N1339">
        <v>4</v>
      </c>
      <c r="O1339">
        <v>0</v>
      </c>
      <c r="P1339">
        <v>51.2</v>
      </c>
      <c r="Q1339">
        <v>0</v>
      </c>
      <c r="R1339">
        <v>0</v>
      </c>
      <c r="S1339">
        <v>6</v>
      </c>
      <c r="T1339">
        <v>0</v>
      </c>
      <c r="U1339" s="1">
        <v>0</v>
      </c>
      <c r="V1339">
        <v>57.2</v>
      </c>
    </row>
    <row r="1340" spans="1:22" ht="15">
      <c r="A1340" s="4">
        <v>1333</v>
      </c>
      <c r="B1340">
        <v>2514</v>
      </c>
      <c r="C1340" t="s">
        <v>3025</v>
      </c>
      <c r="D1340" t="s">
        <v>280</v>
      </c>
      <c r="E1340" t="s">
        <v>15</v>
      </c>
      <c r="F1340" t="s">
        <v>3026</v>
      </c>
      <c r="G1340" t="str">
        <f>"00357968"</f>
        <v>00357968</v>
      </c>
      <c r="H1340">
        <v>43.2</v>
      </c>
      <c r="I1340">
        <v>10</v>
      </c>
      <c r="M1340">
        <v>4</v>
      </c>
      <c r="N1340">
        <v>0</v>
      </c>
      <c r="O1340">
        <v>0</v>
      </c>
      <c r="P1340">
        <v>57.2</v>
      </c>
      <c r="Q1340">
        <v>0</v>
      </c>
      <c r="R1340">
        <v>0</v>
      </c>
      <c r="S1340">
        <v>0</v>
      </c>
      <c r="T1340">
        <v>0</v>
      </c>
      <c r="U1340" s="1">
        <v>0</v>
      </c>
      <c r="V1340">
        <v>57.2</v>
      </c>
    </row>
    <row r="1341" spans="1:22" ht="15">
      <c r="A1341" s="4">
        <v>1334</v>
      </c>
      <c r="B1341">
        <v>2843</v>
      </c>
      <c r="C1341" t="s">
        <v>3027</v>
      </c>
      <c r="D1341" t="s">
        <v>130</v>
      </c>
      <c r="E1341" t="s">
        <v>19</v>
      </c>
      <c r="F1341" t="s">
        <v>3028</v>
      </c>
      <c r="G1341" t="str">
        <f>"00441577"</f>
        <v>00441577</v>
      </c>
      <c r="H1341">
        <v>43.2</v>
      </c>
      <c r="I1341">
        <v>0</v>
      </c>
      <c r="M1341">
        <v>4</v>
      </c>
      <c r="N1341">
        <v>0</v>
      </c>
      <c r="O1341">
        <v>2</v>
      </c>
      <c r="P1341">
        <v>49.2</v>
      </c>
      <c r="Q1341">
        <v>8</v>
      </c>
      <c r="R1341">
        <v>8</v>
      </c>
      <c r="S1341">
        <v>0</v>
      </c>
      <c r="T1341">
        <v>0</v>
      </c>
      <c r="U1341" s="1">
        <v>0</v>
      </c>
      <c r="V1341">
        <v>57.2</v>
      </c>
    </row>
    <row r="1342" spans="1:22" ht="15">
      <c r="A1342" s="4">
        <v>1335</v>
      </c>
      <c r="B1342">
        <v>232</v>
      </c>
      <c r="C1342" t="s">
        <v>3029</v>
      </c>
      <c r="D1342" t="s">
        <v>3030</v>
      </c>
      <c r="E1342" t="s">
        <v>3031</v>
      </c>
      <c r="F1342" t="s">
        <v>3032</v>
      </c>
      <c r="G1342" t="str">
        <f>"00161882"</f>
        <v>00161882</v>
      </c>
      <c r="H1342">
        <v>43.2</v>
      </c>
      <c r="I1342">
        <v>0</v>
      </c>
      <c r="L1342">
        <v>4</v>
      </c>
      <c r="M1342">
        <v>4</v>
      </c>
      <c r="N1342">
        <v>4</v>
      </c>
      <c r="O1342">
        <v>0</v>
      </c>
      <c r="P1342">
        <v>51.2</v>
      </c>
      <c r="Q1342">
        <v>6</v>
      </c>
      <c r="R1342">
        <v>6</v>
      </c>
      <c r="S1342">
        <v>0</v>
      </c>
      <c r="T1342">
        <v>0</v>
      </c>
      <c r="U1342" s="1">
        <v>0</v>
      </c>
      <c r="V1342">
        <v>57.2</v>
      </c>
    </row>
    <row r="1343" spans="1:22" ht="15">
      <c r="A1343" s="4">
        <v>1336</v>
      </c>
      <c r="B1343">
        <v>348</v>
      </c>
      <c r="C1343" t="s">
        <v>3033</v>
      </c>
      <c r="D1343" t="s">
        <v>102</v>
      </c>
      <c r="E1343" t="s">
        <v>83</v>
      </c>
      <c r="F1343" t="s">
        <v>3034</v>
      </c>
      <c r="G1343" t="str">
        <f>"00532379"</f>
        <v>00532379</v>
      </c>
      <c r="H1343">
        <v>43.2</v>
      </c>
      <c r="I1343">
        <v>0</v>
      </c>
      <c r="M1343">
        <v>0</v>
      </c>
      <c r="N1343">
        <v>0</v>
      </c>
      <c r="O1343">
        <v>0</v>
      </c>
      <c r="P1343">
        <v>43.2</v>
      </c>
      <c r="Q1343">
        <v>14</v>
      </c>
      <c r="R1343">
        <v>14</v>
      </c>
      <c r="S1343">
        <v>0</v>
      </c>
      <c r="T1343">
        <v>0</v>
      </c>
      <c r="U1343" s="1">
        <v>0</v>
      </c>
      <c r="V1343">
        <v>57.2</v>
      </c>
    </row>
    <row r="1344" spans="1:22" ht="15">
      <c r="A1344" s="4">
        <v>1337</v>
      </c>
      <c r="B1344">
        <v>3000</v>
      </c>
      <c r="C1344" t="s">
        <v>3035</v>
      </c>
      <c r="D1344" t="s">
        <v>58</v>
      </c>
      <c r="E1344" t="s">
        <v>30</v>
      </c>
      <c r="F1344" t="s">
        <v>3036</v>
      </c>
      <c r="G1344" t="str">
        <f>"200802011774"</f>
        <v>200802011774</v>
      </c>
      <c r="H1344">
        <v>43.2</v>
      </c>
      <c r="I1344">
        <v>0</v>
      </c>
      <c r="L1344">
        <v>4</v>
      </c>
      <c r="M1344">
        <v>4</v>
      </c>
      <c r="N1344">
        <v>4</v>
      </c>
      <c r="O1344">
        <v>0</v>
      </c>
      <c r="P1344">
        <v>51.2</v>
      </c>
      <c r="Q1344">
        <v>0</v>
      </c>
      <c r="R1344">
        <v>0</v>
      </c>
      <c r="S1344">
        <v>6</v>
      </c>
      <c r="T1344">
        <v>0</v>
      </c>
      <c r="U1344" s="1">
        <v>0</v>
      </c>
      <c r="V1344">
        <v>57.2</v>
      </c>
    </row>
    <row r="1345" spans="1:22" ht="15">
      <c r="A1345" s="4">
        <v>1338</v>
      </c>
      <c r="B1345">
        <v>107</v>
      </c>
      <c r="C1345" t="s">
        <v>3037</v>
      </c>
      <c r="D1345" t="s">
        <v>14</v>
      </c>
      <c r="E1345" t="s">
        <v>327</v>
      </c>
      <c r="F1345" t="s">
        <v>3038</v>
      </c>
      <c r="G1345" t="str">
        <f>"00117019"</f>
        <v>00117019</v>
      </c>
      <c r="H1345">
        <v>43.2</v>
      </c>
      <c r="I1345">
        <v>10</v>
      </c>
      <c r="M1345">
        <v>4</v>
      </c>
      <c r="N1345">
        <v>0</v>
      </c>
      <c r="O1345">
        <v>0</v>
      </c>
      <c r="P1345">
        <v>57.2</v>
      </c>
      <c r="Q1345">
        <v>0</v>
      </c>
      <c r="R1345">
        <v>0</v>
      </c>
      <c r="S1345">
        <v>0</v>
      </c>
      <c r="T1345">
        <v>0</v>
      </c>
      <c r="U1345" s="1">
        <v>0</v>
      </c>
      <c r="V1345">
        <v>57.2</v>
      </c>
    </row>
    <row r="1346" spans="1:22" ht="15">
      <c r="A1346" s="4">
        <v>1339</v>
      </c>
      <c r="B1346">
        <v>2720</v>
      </c>
      <c r="C1346" t="s">
        <v>3039</v>
      </c>
      <c r="D1346" t="s">
        <v>93</v>
      </c>
      <c r="E1346" t="s">
        <v>270</v>
      </c>
      <c r="F1346" t="s">
        <v>3040</v>
      </c>
      <c r="G1346" t="str">
        <f>"00531509"</f>
        <v>00531509</v>
      </c>
      <c r="H1346">
        <v>43.2</v>
      </c>
      <c r="I1346">
        <v>0</v>
      </c>
      <c r="L1346">
        <v>4</v>
      </c>
      <c r="M1346">
        <v>4</v>
      </c>
      <c r="N1346">
        <v>4</v>
      </c>
      <c r="O1346">
        <v>0</v>
      </c>
      <c r="P1346">
        <v>51.2</v>
      </c>
      <c r="Q1346">
        <v>0</v>
      </c>
      <c r="R1346">
        <v>0</v>
      </c>
      <c r="S1346">
        <v>6</v>
      </c>
      <c r="T1346">
        <v>0</v>
      </c>
      <c r="U1346" s="1">
        <v>0</v>
      </c>
      <c r="V1346">
        <v>57.2</v>
      </c>
    </row>
    <row r="1347" spans="1:22" ht="15">
      <c r="A1347" s="4">
        <v>1340</v>
      </c>
      <c r="B1347">
        <v>2698</v>
      </c>
      <c r="C1347" t="s">
        <v>1500</v>
      </c>
      <c r="D1347" t="s">
        <v>3041</v>
      </c>
      <c r="E1347" t="s">
        <v>30</v>
      </c>
      <c r="F1347" t="s">
        <v>3042</v>
      </c>
      <c r="G1347" t="str">
        <f>"00531443"</f>
        <v>00531443</v>
      </c>
      <c r="H1347">
        <v>43.2</v>
      </c>
      <c r="I1347">
        <v>0</v>
      </c>
      <c r="M1347">
        <v>0</v>
      </c>
      <c r="N1347">
        <v>0</v>
      </c>
      <c r="O1347">
        <v>0</v>
      </c>
      <c r="P1347">
        <v>43.2</v>
      </c>
      <c r="Q1347">
        <v>8</v>
      </c>
      <c r="R1347">
        <v>8</v>
      </c>
      <c r="S1347">
        <v>6</v>
      </c>
      <c r="T1347">
        <v>0</v>
      </c>
      <c r="U1347" s="1">
        <v>0</v>
      </c>
      <c r="V1347">
        <v>57.2</v>
      </c>
    </row>
    <row r="1348" spans="1:22" ht="15">
      <c r="A1348" s="4">
        <v>1341</v>
      </c>
      <c r="B1348">
        <v>1617</v>
      </c>
      <c r="C1348" t="s">
        <v>96</v>
      </c>
      <c r="D1348" t="s">
        <v>3043</v>
      </c>
      <c r="E1348" t="s">
        <v>134</v>
      </c>
      <c r="F1348" t="s">
        <v>3044</v>
      </c>
      <c r="G1348" t="str">
        <f>"200801002203"</f>
        <v>200801002203</v>
      </c>
      <c r="H1348">
        <v>39.08</v>
      </c>
      <c r="I1348">
        <v>0</v>
      </c>
      <c r="L1348">
        <v>8</v>
      </c>
      <c r="M1348">
        <v>4</v>
      </c>
      <c r="N1348">
        <v>8</v>
      </c>
      <c r="O1348">
        <v>0</v>
      </c>
      <c r="P1348">
        <v>51.08</v>
      </c>
      <c r="Q1348">
        <v>0</v>
      </c>
      <c r="R1348">
        <v>0</v>
      </c>
      <c r="S1348">
        <v>6</v>
      </c>
      <c r="T1348">
        <v>0</v>
      </c>
      <c r="U1348" s="1">
        <v>0</v>
      </c>
      <c r="V1348">
        <v>57.08</v>
      </c>
    </row>
    <row r="1349" spans="1:22" ht="15">
      <c r="A1349" s="4">
        <v>1342</v>
      </c>
      <c r="B1349">
        <v>573</v>
      </c>
      <c r="C1349" t="s">
        <v>3045</v>
      </c>
      <c r="D1349" t="s">
        <v>93</v>
      </c>
      <c r="E1349" t="s">
        <v>1425</v>
      </c>
      <c r="F1349" t="s">
        <v>3046</v>
      </c>
      <c r="G1349" t="str">
        <f>"201604001811"</f>
        <v>201604001811</v>
      </c>
      <c r="H1349">
        <v>36</v>
      </c>
      <c r="I1349">
        <v>0</v>
      </c>
      <c r="J1349">
        <v>8</v>
      </c>
      <c r="M1349">
        <v>4</v>
      </c>
      <c r="N1349">
        <v>8</v>
      </c>
      <c r="O1349">
        <v>2</v>
      </c>
      <c r="P1349">
        <v>50</v>
      </c>
      <c r="Q1349">
        <v>7</v>
      </c>
      <c r="R1349">
        <v>7</v>
      </c>
      <c r="S1349">
        <v>0</v>
      </c>
      <c r="T1349">
        <v>0</v>
      </c>
      <c r="U1349" s="1">
        <v>0</v>
      </c>
      <c r="V1349">
        <v>57</v>
      </c>
    </row>
    <row r="1350" spans="1:22" ht="15">
      <c r="A1350" s="4">
        <v>1343</v>
      </c>
      <c r="B1350">
        <v>743</v>
      </c>
      <c r="C1350" t="s">
        <v>3047</v>
      </c>
      <c r="D1350" t="s">
        <v>89</v>
      </c>
      <c r="E1350" t="s">
        <v>73</v>
      </c>
      <c r="F1350" t="s">
        <v>3048</v>
      </c>
      <c r="G1350" t="str">
        <f>"00480516"</f>
        <v>00480516</v>
      </c>
      <c r="H1350">
        <v>36</v>
      </c>
      <c r="I1350">
        <v>0</v>
      </c>
      <c r="J1350">
        <v>8</v>
      </c>
      <c r="M1350">
        <v>4</v>
      </c>
      <c r="N1350">
        <v>8</v>
      </c>
      <c r="O1350">
        <v>0</v>
      </c>
      <c r="P1350">
        <v>48</v>
      </c>
      <c r="Q1350">
        <v>6</v>
      </c>
      <c r="R1350">
        <v>6</v>
      </c>
      <c r="S1350">
        <v>3</v>
      </c>
      <c r="T1350">
        <v>0</v>
      </c>
      <c r="U1350" s="1">
        <v>0</v>
      </c>
      <c r="V1350">
        <v>57</v>
      </c>
    </row>
    <row r="1351" spans="1:22" ht="15">
      <c r="A1351" s="4">
        <v>1344</v>
      </c>
      <c r="B1351">
        <v>215</v>
      </c>
      <c r="C1351" t="s">
        <v>3049</v>
      </c>
      <c r="D1351" t="s">
        <v>287</v>
      </c>
      <c r="E1351" t="s">
        <v>11</v>
      </c>
      <c r="F1351" t="s">
        <v>3050</v>
      </c>
      <c r="G1351" t="str">
        <f>"201510001052"</f>
        <v>201510001052</v>
      </c>
      <c r="H1351">
        <v>40</v>
      </c>
      <c r="I1351">
        <v>10</v>
      </c>
      <c r="M1351">
        <v>4</v>
      </c>
      <c r="N1351">
        <v>0</v>
      </c>
      <c r="O1351">
        <v>0</v>
      </c>
      <c r="P1351">
        <v>54</v>
      </c>
      <c r="Q1351">
        <v>0</v>
      </c>
      <c r="R1351">
        <v>0</v>
      </c>
      <c r="S1351">
        <v>3</v>
      </c>
      <c r="T1351">
        <v>0</v>
      </c>
      <c r="U1351" s="1">
        <v>0</v>
      </c>
      <c r="V1351">
        <v>57</v>
      </c>
    </row>
    <row r="1352" spans="1:22" ht="15">
      <c r="A1352" s="4">
        <v>1345</v>
      </c>
      <c r="B1352">
        <v>3100</v>
      </c>
      <c r="C1352" t="s">
        <v>3051</v>
      </c>
      <c r="D1352" t="s">
        <v>173</v>
      </c>
      <c r="E1352" t="s">
        <v>344</v>
      </c>
      <c r="F1352" t="s">
        <v>3052</v>
      </c>
      <c r="G1352" t="str">
        <f>"00442528"</f>
        <v>00442528</v>
      </c>
      <c r="H1352">
        <v>16</v>
      </c>
      <c r="I1352">
        <v>10</v>
      </c>
      <c r="M1352">
        <v>0</v>
      </c>
      <c r="N1352">
        <v>0</v>
      </c>
      <c r="O1352">
        <v>0</v>
      </c>
      <c r="P1352">
        <v>26</v>
      </c>
      <c r="Q1352">
        <v>25</v>
      </c>
      <c r="R1352">
        <v>25</v>
      </c>
      <c r="S1352">
        <v>6</v>
      </c>
      <c r="T1352">
        <v>0</v>
      </c>
      <c r="U1352" s="1">
        <v>0</v>
      </c>
      <c r="V1352">
        <v>57</v>
      </c>
    </row>
    <row r="1353" spans="1:22" ht="15">
      <c r="A1353" s="4">
        <v>1346</v>
      </c>
      <c r="B1353">
        <v>2344</v>
      </c>
      <c r="C1353" t="s">
        <v>3053</v>
      </c>
      <c r="D1353" t="s">
        <v>14</v>
      </c>
      <c r="E1353" t="s">
        <v>225</v>
      </c>
      <c r="F1353" t="s">
        <v>3054</v>
      </c>
      <c r="G1353" t="str">
        <f>"00479950"</f>
        <v>00479950</v>
      </c>
      <c r="H1353">
        <v>36</v>
      </c>
      <c r="I1353">
        <v>0</v>
      </c>
      <c r="L1353">
        <v>4</v>
      </c>
      <c r="M1353">
        <v>4</v>
      </c>
      <c r="N1353">
        <v>4</v>
      </c>
      <c r="O1353">
        <v>0</v>
      </c>
      <c r="P1353">
        <v>44</v>
      </c>
      <c r="Q1353">
        <v>13</v>
      </c>
      <c r="R1353">
        <v>13</v>
      </c>
      <c r="S1353">
        <v>0</v>
      </c>
      <c r="T1353">
        <v>0</v>
      </c>
      <c r="U1353" s="1">
        <v>0</v>
      </c>
      <c r="V1353">
        <v>57</v>
      </c>
    </row>
    <row r="1354" spans="1:22" ht="15">
      <c r="A1354" s="4">
        <v>1347</v>
      </c>
      <c r="B1354">
        <v>3161</v>
      </c>
      <c r="C1354" t="s">
        <v>3055</v>
      </c>
      <c r="D1354" t="s">
        <v>3056</v>
      </c>
      <c r="E1354" t="s">
        <v>167</v>
      </c>
      <c r="F1354" t="s">
        <v>3057</v>
      </c>
      <c r="G1354" t="str">
        <f>"00510062"</f>
        <v>00510062</v>
      </c>
      <c r="H1354">
        <v>36</v>
      </c>
      <c r="I1354">
        <v>0</v>
      </c>
      <c r="M1354">
        <v>4</v>
      </c>
      <c r="N1354">
        <v>0</v>
      </c>
      <c r="O1354">
        <v>0</v>
      </c>
      <c r="P1354">
        <v>40</v>
      </c>
      <c r="Q1354">
        <v>17</v>
      </c>
      <c r="R1354">
        <v>17</v>
      </c>
      <c r="S1354">
        <v>0</v>
      </c>
      <c r="T1354">
        <v>0</v>
      </c>
      <c r="U1354" s="1">
        <v>0</v>
      </c>
      <c r="V1354">
        <v>57</v>
      </c>
    </row>
    <row r="1355" spans="1:22" ht="15">
      <c r="A1355" s="4">
        <v>1348</v>
      </c>
      <c r="B1355">
        <v>383</v>
      </c>
      <c r="C1355" t="s">
        <v>3058</v>
      </c>
      <c r="D1355" t="s">
        <v>89</v>
      </c>
      <c r="E1355" t="s">
        <v>23</v>
      </c>
      <c r="F1355" t="s">
        <v>3059</v>
      </c>
      <c r="G1355" t="str">
        <f>"00508512"</f>
        <v>00508512</v>
      </c>
      <c r="H1355">
        <v>36</v>
      </c>
      <c r="I1355">
        <v>0</v>
      </c>
      <c r="M1355">
        <v>4</v>
      </c>
      <c r="N1355">
        <v>0</v>
      </c>
      <c r="O1355">
        <v>0</v>
      </c>
      <c r="P1355">
        <v>40</v>
      </c>
      <c r="Q1355">
        <v>17</v>
      </c>
      <c r="R1355">
        <v>17</v>
      </c>
      <c r="S1355">
        <v>0</v>
      </c>
      <c r="T1355">
        <v>0</v>
      </c>
      <c r="U1355" s="1">
        <v>0</v>
      </c>
      <c r="V1355">
        <v>57</v>
      </c>
    </row>
    <row r="1356" spans="1:22" ht="15">
      <c r="A1356" s="4">
        <v>1349</v>
      </c>
      <c r="B1356">
        <v>1946</v>
      </c>
      <c r="C1356" t="s">
        <v>3060</v>
      </c>
      <c r="D1356" t="s">
        <v>3061</v>
      </c>
      <c r="E1356" t="s">
        <v>3062</v>
      </c>
      <c r="F1356" t="s">
        <v>3063</v>
      </c>
      <c r="G1356" t="str">
        <f>"00513554"</f>
        <v>00513554</v>
      </c>
      <c r="H1356">
        <v>36</v>
      </c>
      <c r="I1356">
        <v>0</v>
      </c>
      <c r="M1356">
        <v>4</v>
      </c>
      <c r="N1356">
        <v>0</v>
      </c>
      <c r="O1356">
        <v>0</v>
      </c>
      <c r="P1356">
        <v>40</v>
      </c>
      <c r="Q1356">
        <v>17</v>
      </c>
      <c r="R1356">
        <v>17</v>
      </c>
      <c r="S1356">
        <v>0</v>
      </c>
      <c r="T1356">
        <v>0</v>
      </c>
      <c r="U1356" s="1">
        <v>0</v>
      </c>
      <c r="V1356">
        <v>57</v>
      </c>
    </row>
    <row r="1357" spans="1:22" ht="15">
      <c r="A1357" s="4">
        <v>1350</v>
      </c>
      <c r="B1357">
        <v>14</v>
      </c>
      <c r="C1357" t="s">
        <v>3064</v>
      </c>
      <c r="D1357" t="s">
        <v>621</v>
      </c>
      <c r="E1357" t="s">
        <v>11</v>
      </c>
      <c r="F1357" t="s">
        <v>3065</v>
      </c>
      <c r="G1357" t="str">
        <f>"00517704"</f>
        <v>00517704</v>
      </c>
      <c r="H1357">
        <v>36</v>
      </c>
      <c r="I1357">
        <v>0</v>
      </c>
      <c r="M1357">
        <v>0</v>
      </c>
      <c r="N1357">
        <v>0</v>
      </c>
      <c r="O1357">
        <v>0</v>
      </c>
      <c r="P1357">
        <v>36</v>
      </c>
      <c r="Q1357">
        <v>21</v>
      </c>
      <c r="R1357">
        <v>21</v>
      </c>
      <c r="S1357">
        <v>0</v>
      </c>
      <c r="T1357">
        <v>0</v>
      </c>
      <c r="U1357" s="1">
        <v>0</v>
      </c>
      <c r="V1357">
        <v>57</v>
      </c>
    </row>
    <row r="1358" spans="1:22" ht="15">
      <c r="A1358" s="4">
        <v>1351</v>
      </c>
      <c r="B1358">
        <v>1667</v>
      </c>
      <c r="C1358" t="s">
        <v>3066</v>
      </c>
      <c r="D1358" t="s">
        <v>1094</v>
      </c>
      <c r="E1358" t="s">
        <v>270</v>
      </c>
      <c r="F1358" t="s">
        <v>3067</v>
      </c>
      <c r="G1358" t="str">
        <f>"00523543"</f>
        <v>00523543</v>
      </c>
      <c r="H1358">
        <v>36</v>
      </c>
      <c r="I1358">
        <v>0</v>
      </c>
      <c r="L1358">
        <v>4</v>
      </c>
      <c r="M1358">
        <v>4</v>
      </c>
      <c r="N1358">
        <v>4</v>
      </c>
      <c r="O1358">
        <v>0</v>
      </c>
      <c r="P1358">
        <v>44</v>
      </c>
      <c r="Q1358">
        <v>13</v>
      </c>
      <c r="R1358">
        <v>13</v>
      </c>
      <c r="S1358">
        <v>0</v>
      </c>
      <c r="T1358">
        <v>0</v>
      </c>
      <c r="U1358" s="1">
        <v>0</v>
      </c>
      <c r="V1358">
        <v>57</v>
      </c>
    </row>
    <row r="1359" spans="1:22" ht="15">
      <c r="A1359" s="4">
        <v>1352</v>
      </c>
      <c r="B1359">
        <v>1557</v>
      </c>
      <c r="C1359" t="s">
        <v>3068</v>
      </c>
      <c r="D1359" t="s">
        <v>173</v>
      </c>
      <c r="E1359" t="s">
        <v>1120</v>
      </c>
      <c r="F1359" t="s">
        <v>3069</v>
      </c>
      <c r="G1359" t="str">
        <f>"00433351"</f>
        <v>00433351</v>
      </c>
      <c r="H1359">
        <v>36.88</v>
      </c>
      <c r="I1359">
        <v>10</v>
      </c>
      <c r="M1359">
        <v>4</v>
      </c>
      <c r="N1359">
        <v>0</v>
      </c>
      <c r="O1359">
        <v>0</v>
      </c>
      <c r="P1359">
        <v>50.88</v>
      </c>
      <c r="Q1359">
        <v>6</v>
      </c>
      <c r="R1359">
        <v>6</v>
      </c>
      <c r="S1359">
        <v>0</v>
      </c>
      <c r="T1359">
        <v>0</v>
      </c>
      <c r="U1359" s="1">
        <v>0</v>
      </c>
      <c r="V1359">
        <v>56.88</v>
      </c>
    </row>
    <row r="1360" spans="1:22" ht="15">
      <c r="A1360" s="4">
        <v>1353</v>
      </c>
      <c r="B1360">
        <v>1857</v>
      </c>
      <c r="C1360" t="s">
        <v>3070</v>
      </c>
      <c r="D1360" t="s">
        <v>643</v>
      </c>
      <c r="E1360" t="s">
        <v>69</v>
      </c>
      <c r="F1360" t="s">
        <v>3071</v>
      </c>
      <c r="G1360" t="str">
        <f>"00192107"</f>
        <v>00192107</v>
      </c>
      <c r="H1360">
        <v>24.8</v>
      </c>
      <c r="I1360">
        <v>0</v>
      </c>
      <c r="M1360">
        <v>4</v>
      </c>
      <c r="N1360">
        <v>0</v>
      </c>
      <c r="O1360">
        <v>0</v>
      </c>
      <c r="P1360">
        <v>28.8</v>
      </c>
      <c r="Q1360">
        <v>22</v>
      </c>
      <c r="R1360">
        <v>22</v>
      </c>
      <c r="S1360">
        <v>6</v>
      </c>
      <c r="T1360">
        <v>0</v>
      </c>
      <c r="U1360" s="1">
        <v>0</v>
      </c>
      <c r="V1360">
        <v>56.8</v>
      </c>
    </row>
    <row r="1361" spans="1:22" ht="15">
      <c r="A1361" s="4">
        <v>1354</v>
      </c>
      <c r="B1361">
        <v>793</v>
      </c>
      <c r="C1361" t="s">
        <v>3072</v>
      </c>
      <c r="D1361" t="s">
        <v>3073</v>
      </c>
      <c r="E1361" t="s">
        <v>73</v>
      </c>
      <c r="F1361" t="s">
        <v>3074</v>
      </c>
      <c r="G1361" t="str">
        <f>"00501836"</f>
        <v>00501836</v>
      </c>
      <c r="H1361">
        <v>22.8</v>
      </c>
      <c r="I1361">
        <v>0</v>
      </c>
      <c r="M1361">
        <v>4</v>
      </c>
      <c r="N1361">
        <v>0</v>
      </c>
      <c r="O1361">
        <v>0</v>
      </c>
      <c r="P1361">
        <v>26.8</v>
      </c>
      <c r="Q1361">
        <v>30</v>
      </c>
      <c r="R1361">
        <v>30</v>
      </c>
      <c r="S1361">
        <v>0</v>
      </c>
      <c r="T1361">
        <v>0</v>
      </c>
      <c r="U1361" s="1">
        <v>0</v>
      </c>
      <c r="V1361">
        <v>56.8</v>
      </c>
    </row>
    <row r="1362" spans="1:22" ht="15">
      <c r="A1362" s="4">
        <v>1355</v>
      </c>
      <c r="B1362">
        <v>3206</v>
      </c>
      <c r="C1362" t="s">
        <v>3075</v>
      </c>
      <c r="D1362" t="s">
        <v>50</v>
      </c>
      <c r="E1362" t="s">
        <v>167</v>
      </c>
      <c r="F1362" t="s">
        <v>3076</v>
      </c>
      <c r="G1362" t="str">
        <f>"00507987"</f>
        <v>00507987</v>
      </c>
      <c r="H1362">
        <v>20.72</v>
      </c>
      <c r="I1362">
        <v>10</v>
      </c>
      <c r="M1362">
        <v>0</v>
      </c>
      <c r="N1362">
        <v>0</v>
      </c>
      <c r="O1362">
        <v>0</v>
      </c>
      <c r="P1362">
        <v>30.72</v>
      </c>
      <c r="Q1362">
        <v>26</v>
      </c>
      <c r="R1362">
        <v>26</v>
      </c>
      <c r="S1362">
        <v>0</v>
      </c>
      <c r="T1362">
        <v>0</v>
      </c>
      <c r="U1362" s="1">
        <v>0</v>
      </c>
      <c r="V1362">
        <v>56.72</v>
      </c>
    </row>
    <row r="1363" spans="1:22" ht="15">
      <c r="A1363" s="4">
        <v>1356</v>
      </c>
      <c r="B1363">
        <v>1376</v>
      </c>
      <c r="C1363" t="s">
        <v>3077</v>
      </c>
      <c r="D1363" t="s">
        <v>76</v>
      </c>
      <c r="E1363" t="s">
        <v>800</v>
      </c>
      <c r="F1363" t="s">
        <v>3078</v>
      </c>
      <c r="G1363" t="str">
        <f>"00531006"</f>
        <v>00531006</v>
      </c>
      <c r="H1363">
        <v>39.6</v>
      </c>
      <c r="I1363">
        <v>0</v>
      </c>
      <c r="L1363">
        <v>4</v>
      </c>
      <c r="M1363">
        <v>0</v>
      </c>
      <c r="N1363">
        <v>4</v>
      </c>
      <c r="O1363">
        <v>0</v>
      </c>
      <c r="P1363">
        <v>43.6</v>
      </c>
      <c r="Q1363">
        <v>13</v>
      </c>
      <c r="R1363">
        <v>13</v>
      </c>
      <c r="S1363">
        <v>0</v>
      </c>
      <c r="T1363">
        <v>0</v>
      </c>
      <c r="U1363" s="1">
        <v>0</v>
      </c>
      <c r="V1363">
        <v>56.6</v>
      </c>
    </row>
    <row r="1364" spans="1:22" ht="15">
      <c r="A1364" s="4">
        <v>1357</v>
      </c>
      <c r="B1364">
        <v>3408</v>
      </c>
      <c r="C1364" t="s">
        <v>967</v>
      </c>
      <c r="D1364" t="s">
        <v>14</v>
      </c>
      <c r="E1364" t="s">
        <v>1166</v>
      </c>
      <c r="F1364" t="s">
        <v>3079</v>
      </c>
      <c r="G1364" t="str">
        <f>"00530667"</f>
        <v>00530667</v>
      </c>
      <c r="H1364">
        <v>25.6</v>
      </c>
      <c r="I1364">
        <v>0</v>
      </c>
      <c r="M1364">
        <v>0</v>
      </c>
      <c r="N1364">
        <v>0</v>
      </c>
      <c r="O1364">
        <v>0</v>
      </c>
      <c r="P1364">
        <v>25.6</v>
      </c>
      <c r="Q1364">
        <v>31</v>
      </c>
      <c r="R1364">
        <v>31</v>
      </c>
      <c r="S1364">
        <v>0</v>
      </c>
      <c r="T1364">
        <v>0</v>
      </c>
      <c r="U1364" s="1">
        <v>0</v>
      </c>
      <c r="V1364">
        <v>56.6</v>
      </c>
    </row>
    <row r="1365" spans="1:22" ht="15">
      <c r="A1365" s="4">
        <v>1358</v>
      </c>
      <c r="B1365">
        <v>1590</v>
      </c>
      <c r="C1365" t="s">
        <v>3080</v>
      </c>
      <c r="D1365" t="s">
        <v>14</v>
      </c>
      <c r="E1365" t="s">
        <v>270</v>
      </c>
      <c r="F1365" t="s">
        <v>3081</v>
      </c>
      <c r="G1365" t="str">
        <f>"00505094"</f>
        <v>00505094</v>
      </c>
      <c r="H1365">
        <v>21.6</v>
      </c>
      <c r="I1365">
        <v>0</v>
      </c>
      <c r="M1365">
        <v>4</v>
      </c>
      <c r="N1365">
        <v>0</v>
      </c>
      <c r="O1365">
        <v>0</v>
      </c>
      <c r="P1365">
        <v>25.6</v>
      </c>
      <c r="Q1365">
        <v>25</v>
      </c>
      <c r="R1365">
        <v>25</v>
      </c>
      <c r="S1365">
        <v>6</v>
      </c>
      <c r="T1365">
        <v>0</v>
      </c>
      <c r="U1365" s="1">
        <v>0</v>
      </c>
      <c r="V1365">
        <v>56.6</v>
      </c>
    </row>
    <row r="1366" spans="1:22" ht="15">
      <c r="A1366" s="4">
        <v>1359</v>
      </c>
      <c r="B1366">
        <v>2624</v>
      </c>
      <c r="C1366" t="s">
        <v>3082</v>
      </c>
      <c r="D1366" t="s">
        <v>3083</v>
      </c>
      <c r="E1366" t="s">
        <v>30</v>
      </c>
      <c r="F1366" t="s">
        <v>3084</v>
      </c>
      <c r="G1366" t="str">
        <f>"00527265"</f>
        <v>00527265</v>
      </c>
      <c r="H1366">
        <v>21.6</v>
      </c>
      <c r="I1366">
        <v>0</v>
      </c>
      <c r="L1366">
        <v>4</v>
      </c>
      <c r="M1366">
        <v>4</v>
      </c>
      <c r="N1366">
        <v>4</v>
      </c>
      <c r="O1366">
        <v>0</v>
      </c>
      <c r="P1366">
        <v>29.6</v>
      </c>
      <c r="Q1366">
        <v>24</v>
      </c>
      <c r="R1366">
        <v>24</v>
      </c>
      <c r="S1366">
        <v>3</v>
      </c>
      <c r="T1366">
        <v>0</v>
      </c>
      <c r="U1366" s="1">
        <v>0</v>
      </c>
      <c r="V1366">
        <v>56.6</v>
      </c>
    </row>
    <row r="1367" spans="1:22" ht="15">
      <c r="A1367" s="4">
        <v>1360</v>
      </c>
      <c r="B1367">
        <v>2873</v>
      </c>
      <c r="C1367" t="s">
        <v>3085</v>
      </c>
      <c r="D1367" t="s">
        <v>121</v>
      </c>
      <c r="E1367" t="s">
        <v>499</v>
      </c>
      <c r="F1367" t="s">
        <v>3086</v>
      </c>
      <c r="G1367" t="str">
        <f>"00511774"</f>
        <v>00511774</v>
      </c>
      <c r="H1367">
        <v>21.6</v>
      </c>
      <c r="I1367">
        <v>10</v>
      </c>
      <c r="M1367">
        <v>4</v>
      </c>
      <c r="N1367">
        <v>0</v>
      </c>
      <c r="O1367">
        <v>0</v>
      </c>
      <c r="P1367">
        <v>35.6</v>
      </c>
      <c r="Q1367">
        <v>21</v>
      </c>
      <c r="R1367">
        <v>21</v>
      </c>
      <c r="S1367">
        <v>0</v>
      </c>
      <c r="T1367">
        <v>0</v>
      </c>
      <c r="U1367" s="1">
        <v>0</v>
      </c>
      <c r="V1367">
        <v>56.6</v>
      </c>
    </row>
    <row r="1368" spans="1:22" ht="15">
      <c r="A1368" s="4">
        <v>1361</v>
      </c>
      <c r="B1368">
        <v>3159</v>
      </c>
      <c r="C1368" t="s">
        <v>3087</v>
      </c>
      <c r="D1368" t="s">
        <v>3088</v>
      </c>
      <c r="E1368" t="s">
        <v>3089</v>
      </c>
      <c r="F1368" t="s">
        <v>3090</v>
      </c>
      <c r="G1368" t="str">
        <f>"00151990"</f>
        <v>00151990</v>
      </c>
      <c r="H1368">
        <v>21.6</v>
      </c>
      <c r="I1368">
        <v>0</v>
      </c>
      <c r="M1368">
        <v>4</v>
      </c>
      <c r="N1368">
        <v>0</v>
      </c>
      <c r="O1368">
        <v>0</v>
      </c>
      <c r="P1368">
        <v>25.6</v>
      </c>
      <c r="Q1368">
        <v>25</v>
      </c>
      <c r="R1368">
        <v>25</v>
      </c>
      <c r="S1368">
        <v>6</v>
      </c>
      <c r="T1368">
        <v>0</v>
      </c>
      <c r="U1368" s="1">
        <v>0</v>
      </c>
      <c r="V1368">
        <v>56.6</v>
      </c>
    </row>
    <row r="1369" spans="1:22" ht="15">
      <c r="A1369" s="4">
        <v>1362</v>
      </c>
      <c r="B1369">
        <v>1945</v>
      </c>
      <c r="C1369" t="s">
        <v>3091</v>
      </c>
      <c r="D1369" t="s">
        <v>3092</v>
      </c>
      <c r="E1369" t="s">
        <v>15</v>
      </c>
      <c r="F1369" t="s">
        <v>3093</v>
      </c>
      <c r="G1369" t="str">
        <f>"00530672"</f>
        <v>00530672</v>
      </c>
      <c r="H1369">
        <v>14.56</v>
      </c>
      <c r="I1369">
        <v>10</v>
      </c>
      <c r="M1369">
        <v>0</v>
      </c>
      <c r="N1369">
        <v>0</v>
      </c>
      <c r="O1369">
        <v>0</v>
      </c>
      <c r="P1369">
        <v>24.56</v>
      </c>
      <c r="Q1369">
        <v>32</v>
      </c>
      <c r="R1369">
        <v>32</v>
      </c>
      <c r="S1369">
        <v>0</v>
      </c>
      <c r="T1369">
        <v>0</v>
      </c>
      <c r="U1369" s="1">
        <v>0</v>
      </c>
      <c r="V1369">
        <v>56.56</v>
      </c>
    </row>
    <row r="1370" spans="1:22" ht="15">
      <c r="A1370" s="4">
        <v>1363</v>
      </c>
      <c r="B1370">
        <v>1820</v>
      </c>
      <c r="C1370" t="s">
        <v>3094</v>
      </c>
      <c r="D1370" t="s">
        <v>958</v>
      </c>
      <c r="E1370" t="s">
        <v>11</v>
      </c>
      <c r="F1370" t="s">
        <v>3095</v>
      </c>
      <c r="G1370" t="str">
        <f>"201102000469"</f>
        <v>201102000469</v>
      </c>
      <c r="H1370">
        <v>35.44</v>
      </c>
      <c r="I1370">
        <v>10</v>
      </c>
      <c r="L1370">
        <v>4</v>
      </c>
      <c r="M1370">
        <v>4</v>
      </c>
      <c r="N1370">
        <v>4</v>
      </c>
      <c r="O1370">
        <v>0</v>
      </c>
      <c r="P1370">
        <v>53.44</v>
      </c>
      <c r="Q1370">
        <v>0</v>
      </c>
      <c r="R1370">
        <v>0</v>
      </c>
      <c r="S1370">
        <v>3</v>
      </c>
      <c r="T1370">
        <v>0</v>
      </c>
      <c r="U1370" s="1">
        <v>0</v>
      </c>
      <c r="V1370">
        <v>56.44</v>
      </c>
    </row>
    <row r="1371" spans="1:22" ht="15">
      <c r="A1371" s="4">
        <v>1364</v>
      </c>
      <c r="B1371">
        <v>2816</v>
      </c>
      <c r="C1371" t="s">
        <v>3096</v>
      </c>
      <c r="D1371" t="s">
        <v>3097</v>
      </c>
      <c r="E1371" t="s">
        <v>94</v>
      </c>
      <c r="F1371" t="s">
        <v>3098</v>
      </c>
      <c r="G1371" t="str">
        <f>"00532347"</f>
        <v>00532347</v>
      </c>
      <c r="H1371">
        <v>14.4</v>
      </c>
      <c r="I1371">
        <v>0</v>
      </c>
      <c r="M1371">
        <v>4</v>
      </c>
      <c r="N1371">
        <v>0</v>
      </c>
      <c r="O1371">
        <v>0</v>
      </c>
      <c r="P1371">
        <v>18.4</v>
      </c>
      <c r="Q1371">
        <v>0</v>
      </c>
      <c r="R1371">
        <v>0</v>
      </c>
      <c r="S1371">
        <v>6</v>
      </c>
      <c r="T1371">
        <v>32</v>
      </c>
      <c r="U1371" s="1">
        <v>0</v>
      </c>
      <c r="V1371">
        <v>56.4</v>
      </c>
    </row>
    <row r="1372" spans="1:22" ht="15">
      <c r="A1372" s="4">
        <v>1365</v>
      </c>
      <c r="B1372">
        <v>2556</v>
      </c>
      <c r="C1372" t="s">
        <v>3099</v>
      </c>
      <c r="D1372" t="s">
        <v>2548</v>
      </c>
      <c r="E1372" t="s">
        <v>3100</v>
      </c>
      <c r="F1372" t="s">
        <v>3101</v>
      </c>
      <c r="G1372" t="str">
        <f>"00533030"</f>
        <v>00533030</v>
      </c>
      <c r="H1372">
        <v>38.4</v>
      </c>
      <c r="I1372">
        <v>0</v>
      </c>
      <c r="M1372">
        <v>4</v>
      </c>
      <c r="N1372">
        <v>0</v>
      </c>
      <c r="O1372">
        <v>0</v>
      </c>
      <c r="P1372">
        <v>42.4</v>
      </c>
      <c r="Q1372">
        <v>8</v>
      </c>
      <c r="R1372">
        <v>8</v>
      </c>
      <c r="S1372">
        <v>6</v>
      </c>
      <c r="T1372">
        <v>0</v>
      </c>
      <c r="U1372" s="1">
        <v>0</v>
      </c>
      <c r="V1372">
        <v>56.4</v>
      </c>
    </row>
    <row r="1373" spans="1:22" ht="15">
      <c r="A1373" s="4">
        <v>1366</v>
      </c>
      <c r="B1373">
        <v>1911</v>
      </c>
      <c r="C1373" t="s">
        <v>3102</v>
      </c>
      <c r="D1373" t="s">
        <v>23</v>
      </c>
      <c r="E1373" t="s">
        <v>157</v>
      </c>
      <c r="F1373" t="s">
        <v>3103</v>
      </c>
      <c r="G1373" t="str">
        <f>"00430045"</f>
        <v>00430045</v>
      </c>
      <c r="H1373">
        <v>38.4</v>
      </c>
      <c r="I1373">
        <v>0</v>
      </c>
      <c r="L1373">
        <v>4</v>
      </c>
      <c r="M1373">
        <v>4</v>
      </c>
      <c r="N1373">
        <v>4</v>
      </c>
      <c r="O1373">
        <v>2</v>
      </c>
      <c r="P1373">
        <v>48.4</v>
      </c>
      <c r="Q1373">
        <v>8</v>
      </c>
      <c r="R1373">
        <v>8</v>
      </c>
      <c r="S1373">
        <v>0</v>
      </c>
      <c r="T1373">
        <v>0</v>
      </c>
      <c r="U1373" s="1">
        <v>0</v>
      </c>
      <c r="V1373">
        <v>56.4</v>
      </c>
    </row>
    <row r="1374" spans="1:22" ht="15">
      <c r="A1374" s="4">
        <v>1367</v>
      </c>
      <c r="B1374">
        <v>1977</v>
      </c>
      <c r="C1374" t="s">
        <v>2432</v>
      </c>
      <c r="D1374" t="s">
        <v>477</v>
      </c>
      <c r="E1374" t="s">
        <v>19</v>
      </c>
      <c r="F1374" t="s">
        <v>3104</v>
      </c>
      <c r="G1374" t="str">
        <f>"201406007102"</f>
        <v>201406007102</v>
      </c>
      <c r="H1374">
        <v>39.4</v>
      </c>
      <c r="I1374">
        <v>0</v>
      </c>
      <c r="L1374">
        <v>4</v>
      </c>
      <c r="M1374">
        <v>4</v>
      </c>
      <c r="N1374">
        <v>4</v>
      </c>
      <c r="O1374">
        <v>0</v>
      </c>
      <c r="P1374">
        <v>47.4</v>
      </c>
      <c r="Q1374">
        <v>0</v>
      </c>
      <c r="R1374">
        <v>0</v>
      </c>
      <c r="S1374">
        <v>9</v>
      </c>
      <c r="T1374">
        <v>0</v>
      </c>
      <c r="U1374" s="1">
        <v>0</v>
      </c>
      <c r="V1374">
        <v>56.4</v>
      </c>
    </row>
    <row r="1375" spans="1:22" ht="15">
      <c r="A1375" s="4">
        <v>1368</v>
      </c>
      <c r="B1375">
        <v>2732</v>
      </c>
      <c r="C1375" t="s">
        <v>3105</v>
      </c>
      <c r="D1375" t="s">
        <v>14</v>
      </c>
      <c r="E1375" t="s">
        <v>112</v>
      </c>
      <c r="F1375" t="s">
        <v>3106</v>
      </c>
      <c r="G1375" t="str">
        <f>"00531565"</f>
        <v>00531565</v>
      </c>
      <c r="H1375">
        <v>50.4</v>
      </c>
      <c r="I1375">
        <v>0</v>
      </c>
      <c r="M1375">
        <v>4</v>
      </c>
      <c r="N1375">
        <v>0</v>
      </c>
      <c r="O1375">
        <v>2</v>
      </c>
      <c r="P1375">
        <v>56.4</v>
      </c>
      <c r="Q1375">
        <v>0</v>
      </c>
      <c r="R1375">
        <v>0</v>
      </c>
      <c r="S1375">
        <v>0</v>
      </c>
      <c r="T1375">
        <v>0</v>
      </c>
      <c r="U1375" s="1">
        <v>0</v>
      </c>
      <c r="V1375">
        <v>56.4</v>
      </c>
    </row>
    <row r="1376" spans="1:22" ht="15">
      <c r="A1376" s="4">
        <v>1369</v>
      </c>
      <c r="B1376">
        <v>1014</v>
      </c>
      <c r="C1376" t="s">
        <v>3107</v>
      </c>
      <c r="D1376" t="s">
        <v>582</v>
      </c>
      <c r="E1376" t="s">
        <v>30</v>
      </c>
      <c r="F1376" t="s">
        <v>3108</v>
      </c>
      <c r="G1376" t="str">
        <f>"00497759"</f>
        <v>00497759</v>
      </c>
      <c r="H1376">
        <v>14.4</v>
      </c>
      <c r="I1376">
        <v>0</v>
      </c>
      <c r="M1376">
        <v>4</v>
      </c>
      <c r="N1376">
        <v>0</v>
      </c>
      <c r="O1376">
        <v>0</v>
      </c>
      <c r="P1376">
        <v>18.4</v>
      </c>
      <c r="Q1376">
        <v>38</v>
      </c>
      <c r="R1376">
        <v>38</v>
      </c>
      <c r="S1376">
        <v>0</v>
      </c>
      <c r="T1376">
        <v>0</v>
      </c>
      <c r="U1376" s="1">
        <v>0</v>
      </c>
      <c r="V1376">
        <v>56.4</v>
      </c>
    </row>
    <row r="1377" spans="1:22" ht="15">
      <c r="A1377" s="4">
        <v>1370</v>
      </c>
      <c r="B1377">
        <v>1509</v>
      </c>
      <c r="C1377" t="s">
        <v>3109</v>
      </c>
      <c r="D1377" t="s">
        <v>363</v>
      </c>
      <c r="E1377" t="s">
        <v>19</v>
      </c>
      <c r="F1377" t="s">
        <v>3110</v>
      </c>
      <c r="G1377" t="str">
        <f>"00465086"</f>
        <v>00465086</v>
      </c>
      <c r="H1377">
        <v>38.4</v>
      </c>
      <c r="I1377">
        <v>10</v>
      </c>
      <c r="L1377">
        <v>4</v>
      </c>
      <c r="M1377">
        <v>4</v>
      </c>
      <c r="N1377">
        <v>4</v>
      </c>
      <c r="O1377">
        <v>0</v>
      </c>
      <c r="P1377">
        <v>56.4</v>
      </c>
      <c r="Q1377">
        <v>0</v>
      </c>
      <c r="R1377">
        <v>0</v>
      </c>
      <c r="S1377">
        <v>0</v>
      </c>
      <c r="T1377">
        <v>0</v>
      </c>
      <c r="U1377" s="1">
        <v>0</v>
      </c>
      <c r="V1377">
        <v>56.4</v>
      </c>
    </row>
    <row r="1378" spans="1:22" ht="15">
      <c r="A1378" s="4">
        <v>1371</v>
      </c>
      <c r="B1378">
        <v>2170</v>
      </c>
      <c r="C1378" t="s">
        <v>3111</v>
      </c>
      <c r="D1378" t="s">
        <v>14</v>
      </c>
      <c r="E1378" t="s">
        <v>403</v>
      </c>
      <c r="F1378" t="s">
        <v>3112</v>
      </c>
      <c r="G1378" t="str">
        <f>"00506500"</f>
        <v>00506500</v>
      </c>
      <c r="H1378">
        <v>38.24</v>
      </c>
      <c r="I1378">
        <v>10</v>
      </c>
      <c r="L1378">
        <v>4</v>
      </c>
      <c r="M1378">
        <v>4</v>
      </c>
      <c r="N1378">
        <v>4</v>
      </c>
      <c r="O1378">
        <v>0</v>
      </c>
      <c r="P1378">
        <v>56.24</v>
      </c>
      <c r="Q1378">
        <v>0</v>
      </c>
      <c r="R1378">
        <v>0</v>
      </c>
      <c r="S1378">
        <v>0</v>
      </c>
      <c r="T1378">
        <v>0</v>
      </c>
      <c r="U1378" s="1">
        <v>0</v>
      </c>
      <c r="V1378">
        <v>56.24</v>
      </c>
    </row>
    <row r="1379" spans="1:22" ht="15">
      <c r="A1379" s="4">
        <v>1372</v>
      </c>
      <c r="B1379">
        <v>1103</v>
      </c>
      <c r="C1379" t="s">
        <v>2249</v>
      </c>
      <c r="D1379" t="s">
        <v>14</v>
      </c>
      <c r="E1379" t="s">
        <v>344</v>
      </c>
      <c r="F1379" t="s">
        <v>3113</v>
      </c>
      <c r="G1379" t="str">
        <f>"00148201"</f>
        <v>00148201</v>
      </c>
      <c r="H1379">
        <v>14.2</v>
      </c>
      <c r="I1379">
        <v>0</v>
      </c>
      <c r="M1379">
        <v>0</v>
      </c>
      <c r="N1379">
        <v>0</v>
      </c>
      <c r="O1379">
        <v>0</v>
      </c>
      <c r="P1379">
        <v>14.2</v>
      </c>
      <c r="Q1379">
        <v>36</v>
      </c>
      <c r="R1379">
        <v>36</v>
      </c>
      <c r="S1379">
        <v>6</v>
      </c>
      <c r="T1379">
        <v>0</v>
      </c>
      <c r="U1379" s="1">
        <v>0</v>
      </c>
      <c r="V1379">
        <v>56.2</v>
      </c>
    </row>
    <row r="1380" spans="1:22" ht="15">
      <c r="A1380" s="4">
        <v>1373</v>
      </c>
      <c r="B1380">
        <v>1028</v>
      </c>
      <c r="C1380" t="s">
        <v>3114</v>
      </c>
      <c r="D1380" t="s">
        <v>971</v>
      </c>
      <c r="E1380" t="s">
        <v>59</v>
      </c>
      <c r="F1380" t="s">
        <v>3115</v>
      </c>
      <c r="G1380" t="str">
        <f>"00220031"</f>
        <v>00220031</v>
      </c>
      <c r="H1380">
        <v>43.2</v>
      </c>
      <c r="I1380">
        <v>0</v>
      </c>
      <c r="M1380">
        <v>0</v>
      </c>
      <c r="N1380">
        <v>0</v>
      </c>
      <c r="O1380">
        <v>0</v>
      </c>
      <c r="P1380">
        <v>43.2</v>
      </c>
      <c r="Q1380">
        <v>7</v>
      </c>
      <c r="R1380">
        <v>7</v>
      </c>
      <c r="S1380">
        <v>6</v>
      </c>
      <c r="T1380">
        <v>0</v>
      </c>
      <c r="U1380" s="1">
        <v>0</v>
      </c>
      <c r="V1380">
        <v>56.2</v>
      </c>
    </row>
    <row r="1381" spans="1:22" ht="15">
      <c r="A1381" s="4">
        <v>1374</v>
      </c>
      <c r="B1381">
        <v>3183</v>
      </c>
      <c r="C1381" t="s">
        <v>3116</v>
      </c>
      <c r="D1381" t="s">
        <v>3117</v>
      </c>
      <c r="E1381" t="s">
        <v>23</v>
      </c>
      <c r="F1381" t="s">
        <v>3118</v>
      </c>
      <c r="G1381" t="str">
        <f>"00503196"</f>
        <v>00503196</v>
      </c>
      <c r="H1381">
        <v>31.2</v>
      </c>
      <c r="I1381">
        <v>0</v>
      </c>
      <c r="L1381">
        <v>4</v>
      </c>
      <c r="M1381">
        <v>4</v>
      </c>
      <c r="N1381">
        <v>4</v>
      </c>
      <c r="O1381">
        <v>0</v>
      </c>
      <c r="P1381">
        <v>39.2</v>
      </c>
      <c r="Q1381">
        <v>17</v>
      </c>
      <c r="R1381">
        <v>17</v>
      </c>
      <c r="S1381">
        <v>0</v>
      </c>
      <c r="T1381">
        <v>0</v>
      </c>
      <c r="U1381" s="1">
        <v>0</v>
      </c>
      <c r="V1381">
        <v>56.2</v>
      </c>
    </row>
    <row r="1382" spans="1:22" ht="15">
      <c r="A1382" s="4">
        <v>1375</v>
      </c>
      <c r="B1382">
        <v>2540</v>
      </c>
      <c r="C1382" t="s">
        <v>2402</v>
      </c>
      <c r="D1382" t="s">
        <v>14</v>
      </c>
      <c r="E1382" t="s">
        <v>73</v>
      </c>
      <c r="F1382" t="s">
        <v>3119</v>
      </c>
      <c r="G1382" t="str">
        <f>"00532157"</f>
        <v>00532157</v>
      </c>
      <c r="H1382">
        <v>39.16</v>
      </c>
      <c r="I1382">
        <v>0</v>
      </c>
      <c r="L1382">
        <v>4</v>
      </c>
      <c r="M1382">
        <v>4</v>
      </c>
      <c r="N1382">
        <v>4</v>
      </c>
      <c r="O1382">
        <v>0</v>
      </c>
      <c r="P1382">
        <v>47.16</v>
      </c>
      <c r="Q1382">
        <v>0</v>
      </c>
      <c r="R1382">
        <v>0</v>
      </c>
      <c r="S1382">
        <v>9</v>
      </c>
      <c r="T1382">
        <v>0</v>
      </c>
      <c r="U1382" s="1">
        <v>0</v>
      </c>
      <c r="V1382">
        <v>56.16</v>
      </c>
    </row>
    <row r="1383" spans="1:22" ht="15">
      <c r="A1383" s="4">
        <v>1376</v>
      </c>
      <c r="B1383">
        <v>436</v>
      </c>
      <c r="C1383" t="s">
        <v>3120</v>
      </c>
      <c r="D1383" t="s">
        <v>1572</v>
      </c>
      <c r="E1383" t="s">
        <v>3121</v>
      </c>
      <c r="F1383" t="s">
        <v>3122</v>
      </c>
      <c r="G1383" t="str">
        <f>"00510374"</f>
        <v>00510374</v>
      </c>
      <c r="H1383">
        <v>30.12</v>
      </c>
      <c r="I1383">
        <v>0</v>
      </c>
      <c r="M1383">
        <v>0</v>
      </c>
      <c r="N1383">
        <v>0</v>
      </c>
      <c r="O1383">
        <v>0</v>
      </c>
      <c r="P1383">
        <v>30.12</v>
      </c>
      <c r="Q1383">
        <v>17</v>
      </c>
      <c r="R1383">
        <v>17</v>
      </c>
      <c r="S1383">
        <v>9</v>
      </c>
      <c r="T1383">
        <v>0</v>
      </c>
      <c r="U1383" s="1">
        <v>0</v>
      </c>
      <c r="V1383">
        <v>56.12</v>
      </c>
    </row>
    <row r="1384" spans="1:22" ht="15">
      <c r="A1384" s="4">
        <v>1377</v>
      </c>
      <c r="B1384">
        <v>1074</v>
      </c>
      <c r="C1384" t="s">
        <v>3123</v>
      </c>
      <c r="D1384" t="s">
        <v>40</v>
      </c>
      <c r="E1384" t="s">
        <v>23</v>
      </c>
      <c r="F1384" t="s">
        <v>3124</v>
      </c>
      <c r="G1384" t="str">
        <f>"200805001331"</f>
        <v>200805001331</v>
      </c>
      <c r="H1384">
        <v>40</v>
      </c>
      <c r="I1384">
        <v>0</v>
      </c>
      <c r="L1384">
        <v>4</v>
      </c>
      <c r="M1384">
        <v>4</v>
      </c>
      <c r="N1384">
        <v>4</v>
      </c>
      <c r="O1384">
        <v>2</v>
      </c>
      <c r="P1384">
        <v>50</v>
      </c>
      <c r="Q1384">
        <v>0</v>
      </c>
      <c r="R1384">
        <v>0</v>
      </c>
      <c r="S1384">
        <v>6</v>
      </c>
      <c r="T1384">
        <v>0</v>
      </c>
      <c r="U1384" s="1">
        <v>0</v>
      </c>
      <c r="V1384">
        <v>56</v>
      </c>
    </row>
    <row r="1385" spans="1:22" ht="15">
      <c r="A1385" s="4">
        <v>1378</v>
      </c>
      <c r="B1385">
        <v>1647</v>
      </c>
      <c r="C1385" t="s">
        <v>3125</v>
      </c>
      <c r="D1385" t="s">
        <v>40</v>
      </c>
      <c r="E1385" t="s">
        <v>23</v>
      </c>
      <c r="F1385" t="s">
        <v>3126</v>
      </c>
      <c r="G1385" t="str">
        <f>"201406010602"</f>
        <v>201406010602</v>
      </c>
      <c r="H1385">
        <v>40</v>
      </c>
      <c r="I1385">
        <v>0</v>
      </c>
      <c r="J1385">
        <v>8</v>
      </c>
      <c r="L1385">
        <v>4</v>
      </c>
      <c r="M1385">
        <v>4</v>
      </c>
      <c r="N1385">
        <v>12</v>
      </c>
      <c r="O1385">
        <v>0</v>
      </c>
      <c r="P1385">
        <v>56</v>
      </c>
      <c r="Q1385">
        <v>0</v>
      </c>
      <c r="R1385">
        <v>0</v>
      </c>
      <c r="S1385">
        <v>0</v>
      </c>
      <c r="T1385">
        <v>0</v>
      </c>
      <c r="U1385" s="1">
        <v>0</v>
      </c>
      <c r="V1385">
        <v>56</v>
      </c>
    </row>
    <row r="1386" spans="1:22" ht="15">
      <c r="A1386" s="4">
        <v>1379</v>
      </c>
      <c r="B1386">
        <v>874</v>
      </c>
      <c r="C1386" t="s">
        <v>3127</v>
      </c>
      <c r="D1386" t="s">
        <v>156</v>
      </c>
      <c r="E1386" t="s">
        <v>190</v>
      </c>
      <c r="F1386" t="s">
        <v>3128</v>
      </c>
      <c r="G1386" t="str">
        <f>"201109000041"</f>
        <v>201109000041</v>
      </c>
      <c r="H1386">
        <v>36</v>
      </c>
      <c r="I1386">
        <v>0</v>
      </c>
      <c r="M1386">
        <v>0</v>
      </c>
      <c r="N1386">
        <v>0</v>
      </c>
      <c r="O1386">
        <v>0</v>
      </c>
      <c r="P1386">
        <v>36</v>
      </c>
      <c r="Q1386">
        <v>14</v>
      </c>
      <c r="R1386">
        <v>14</v>
      </c>
      <c r="S1386">
        <v>6</v>
      </c>
      <c r="T1386">
        <v>0</v>
      </c>
      <c r="U1386" s="1">
        <v>0</v>
      </c>
      <c r="V1386">
        <v>56</v>
      </c>
    </row>
    <row r="1387" spans="1:22" ht="15">
      <c r="A1387" s="4">
        <v>1380</v>
      </c>
      <c r="B1387">
        <v>507</v>
      </c>
      <c r="C1387" t="s">
        <v>3129</v>
      </c>
      <c r="D1387" t="s">
        <v>89</v>
      </c>
      <c r="E1387" t="s">
        <v>55</v>
      </c>
      <c r="F1387" t="s">
        <v>3130</v>
      </c>
      <c r="G1387" t="str">
        <f>"00162557"</f>
        <v>00162557</v>
      </c>
      <c r="H1387">
        <v>36</v>
      </c>
      <c r="I1387">
        <v>0</v>
      </c>
      <c r="L1387">
        <v>4</v>
      </c>
      <c r="M1387">
        <v>4</v>
      </c>
      <c r="N1387">
        <v>4</v>
      </c>
      <c r="O1387">
        <v>0</v>
      </c>
      <c r="P1387">
        <v>44</v>
      </c>
      <c r="Q1387">
        <v>12</v>
      </c>
      <c r="R1387">
        <v>12</v>
      </c>
      <c r="S1387">
        <v>0</v>
      </c>
      <c r="T1387">
        <v>0</v>
      </c>
      <c r="U1387" s="1">
        <v>0</v>
      </c>
      <c r="V1387">
        <v>56</v>
      </c>
    </row>
    <row r="1388" spans="1:22" ht="15">
      <c r="A1388" s="4">
        <v>1381</v>
      </c>
      <c r="B1388">
        <v>897</v>
      </c>
      <c r="C1388" t="s">
        <v>3131</v>
      </c>
      <c r="D1388" t="s">
        <v>102</v>
      </c>
      <c r="E1388" t="s">
        <v>3132</v>
      </c>
      <c r="F1388" t="s">
        <v>3133</v>
      </c>
      <c r="G1388" t="str">
        <f>"00358349"</f>
        <v>00358349</v>
      </c>
      <c r="H1388">
        <v>36</v>
      </c>
      <c r="I1388">
        <v>0</v>
      </c>
      <c r="L1388">
        <v>4</v>
      </c>
      <c r="M1388">
        <v>4</v>
      </c>
      <c r="N1388">
        <v>4</v>
      </c>
      <c r="O1388">
        <v>0</v>
      </c>
      <c r="P1388">
        <v>44</v>
      </c>
      <c r="Q1388">
        <v>6</v>
      </c>
      <c r="R1388">
        <v>6</v>
      </c>
      <c r="S1388">
        <v>6</v>
      </c>
      <c r="T1388">
        <v>0</v>
      </c>
      <c r="U1388" s="1">
        <v>0</v>
      </c>
      <c r="V1388">
        <v>56</v>
      </c>
    </row>
    <row r="1389" spans="1:22" ht="15">
      <c r="A1389" s="4">
        <v>1382</v>
      </c>
      <c r="B1389">
        <v>2453</v>
      </c>
      <c r="C1389" t="s">
        <v>3134</v>
      </c>
      <c r="D1389" t="s">
        <v>3135</v>
      </c>
      <c r="E1389" t="s">
        <v>41</v>
      </c>
      <c r="F1389" t="s">
        <v>3136</v>
      </c>
      <c r="G1389" t="str">
        <f>"00162635"</f>
        <v>00162635</v>
      </c>
      <c r="H1389">
        <v>37.88</v>
      </c>
      <c r="I1389">
        <v>10</v>
      </c>
      <c r="L1389">
        <v>4</v>
      </c>
      <c r="M1389">
        <v>4</v>
      </c>
      <c r="N1389">
        <v>4</v>
      </c>
      <c r="O1389">
        <v>0</v>
      </c>
      <c r="P1389">
        <v>55.88</v>
      </c>
      <c r="Q1389">
        <v>0</v>
      </c>
      <c r="R1389">
        <v>0</v>
      </c>
      <c r="S1389">
        <v>0</v>
      </c>
      <c r="T1389">
        <v>0</v>
      </c>
      <c r="U1389" s="1">
        <v>0</v>
      </c>
      <c r="V1389">
        <v>55.88</v>
      </c>
    </row>
    <row r="1390" spans="1:22" ht="15">
      <c r="A1390" s="4">
        <v>1383</v>
      </c>
      <c r="B1390">
        <v>3303</v>
      </c>
      <c r="C1390" t="s">
        <v>3137</v>
      </c>
      <c r="D1390" t="s">
        <v>211</v>
      </c>
      <c r="E1390" t="s">
        <v>112</v>
      </c>
      <c r="F1390" t="s">
        <v>3138</v>
      </c>
      <c r="G1390" t="str">
        <f>"00483330"</f>
        <v>00483330</v>
      </c>
      <c r="H1390">
        <v>28.8</v>
      </c>
      <c r="I1390">
        <v>0</v>
      </c>
      <c r="L1390">
        <v>4</v>
      </c>
      <c r="M1390">
        <v>4</v>
      </c>
      <c r="N1390">
        <v>4</v>
      </c>
      <c r="O1390">
        <v>2</v>
      </c>
      <c r="P1390">
        <v>38.8</v>
      </c>
      <c r="Q1390">
        <v>17</v>
      </c>
      <c r="R1390">
        <v>17</v>
      </c>
      <c r="S1390">
        <v>0</v>
      </c>
      <c r="T1390">
        <v>0</v>
      </c>
      <c r="U1390" s="1">
        <v>0</v>
      </c>
      <c r="V1390">
        <v>55.8</v>
      </c>
    </row>
    <row r="1391" spans="1:22" ht="15">
      <c r="A1391" s="4">
        <v>1384</v>
      </c>
      <c r="B1391">
        <v>540</v>
      </c>
      <c r="C1391" t="s">
        <v>3139</v>
      </c>
      <c r="D1391" t="s">
        <v>3140</v>
      </c>
      <c r="E1391" t="s">
        <v>3141</v>
      </c>
      <c r="F1391" t="s">
        <v>3142</v>
      </c>
      <c r="G1391" t="str">
        <f>"00498580"</f>
        <v>00498580</v>
      </c>
      <c r="H1391">
        <v>28.8</v>
      </c>
      <c r="I1391">
        <v>0</v>
      </c>
      <c r="M1391">
        <v>4</v>
      </c>
      <c r="N1391">
        <v>0</v>
      </c>
      <c r="O1391">
        <v>0</v>
      </c>
      <c r="P1391">
        <v>32.8</v>
      </c>
      <c r="Q1391">
        <v>23</v>
      </c>
      <c r="R1391">
        <v>23</v>
      </c>
      <c r="S1391">
        <v>0</v>
      </c>
      <c r="T1391">
        <v>0</v>
      </c>
      <c r="U1391" s="1">
        <v>0</v>
      </c>
      <c r="V1391">
        <v>55.8</v>
      </c>
    </row>
    <row r="1392" spans="1:22" ht="15">
      <c r="A1392" s="4">
        <v>1385</v>
      </c>
      <c r="B1392">
        <v>998</v>
      </c>
      <c r="C1392" t="s">
        <v>3143</v>
      </c>
      <c r="D1392" t="s">
        <v>496</v>
      </c>
      <c r="E1392" t="s">
        <v>11</v>
      </c>
      <c r="F1392" t="s">
        <v>3144</v>
      </c>
      <c r="G1392" t="str">
        <f>"00530379"</f>
        <v>00530379</v>
      </c>
      <c r="H1392">
        <v>35.72</v>
      </c>
      <c r="I1392">
        <v>10</v>
      </c>
      <c r="M1392">
        <v>4</v>
      </c>
      <c r="N1392">
        <v>0</v>
      </c>
      <c r="O1392">
        <v>0</v>
      </c>
      <c r="P1392">
        <v>49.72</v>
      </c>
      <c r="Q1392">
        <v>0</v>
      </c>
      <c r="R1392">
        <v>0</v>
      </c>
      <c r="S1392">
        <v>6</v>
      </c>
      <c r="T1392">
        <v>0</v>
      </c>
      <c r="U1392" s="1">
        <v>0</v>
      </c>
      <c r="V1392">
        <v>55.72</v>
      </c>
    </row>
    <row r="1393" spans="1:22" ht="15">
      <c r="A1393" s="4">
        <v>1386</v>
      </c>
      <c r="B1393">
        <v>514</v>
      </c>
      <c r="C1393" t="s">
        <v>3145</v>
      </c>
      <c r="D1393" t="s">
        <v>40</v>
      </c>
      <c r="E1393" t="s">
        <v>51</v>
      </c>
      <c r="F1393" t="s">
        <v>3146</v>
      </c>
      <c r="G1393" t="str">
        <f>"00267117"</f>
        <v>00267117</v>
      </c>
      <c r="H1393">
        <v>36.72</v>
      </c>
      <c r="I1393">
        <v>10</v>
      </c>
      <c r="L1393">
        <v>4</v>
      </c>
      <c r="M1393">
        <v>4</v>
      </c>
      <c r="N1393">
        <v>4</v>
      </c>
      <c r="O1393">
        <v>0</v>
      </c>
      <c r="P1393">
        <v>54.72</v>
      </c>
      <c r="Q1393">
        <v>1</v>
      </c>
      <c r="R1393">
        <v>1</v>
      </c>
      <c r="S1393">
        <v>0</v>
      </c>
      <c r="T1393">
        <v>0</v>
      </c>
      <c r="U1393" s="1">
        <v>0</v>
      </c>
      <c r="V1393">
        <v>55.72</v>
      </c>
    </row>
    <row r="1394" spans="1:22" ht="15">
      <c r="A1394" s="4">
        <v>1387</v>
      </c>
      <c r="B1394">
        <v>2470</v>
      </c>
      <c r="C1394" t="s">
        <v>96</v>
      </c>
      <c r="D1394" t="s">
        <v>339</v>
      </c>
      <c r="E1394" t="s">
        <v>90</v>
      </c>
      <c r="F1394" t="s">
        <v>3147</v>
      </c>
      <c r="G1394" t="str">
        <f>"00039352"</f>
        <v>00039352</v>
      </c>
      <c r="H1394">
        <v>37.72</v>
      </c>
      <c r="I1394">
        <v>0</v>
      </c>
      <c r="L1394">
        <v>8</v>
      </c>
      <c r="M1394">
        <v>4</v>
      </c>
      <c r="N1394">
        <v>8</v>
      </c>
      <c r="O1394">
        <v>0</v>
      </c>
      <c r="P1394">
        <v>49.72</v>
      </c>
      <c r="Q1394">
        <v>0</v>
      </c>
      <c r="R1394">
        <v>0</v>
      </c>
      <c r="S1394">
        <v>6</v>
      </c>
      <c r="T1394">
        <v>0</v>
      </c>
      <c r="U1394" s="1">
        <v>0</v>
      </c>
      <c r="V1394">
        <v>55.72</v>
      </c>
    </row>
    <row r="1395" spans="1:22" ht="15">
      <c r="A1395" s="4">
        <v>1388</v>
      </c>
      <c r="B1395">
        <v>1444</v>
      </c>
      <c r="C1395" t="s">
        <v>3148</v>
      </c>
      <c r="D1395" t="s">
        <v>799</v>
      </c>
      <c r="E1395" t="s">
        <v>23</v>
      </c>
      <c r="F1395" t="s">
        <v>3149</v>
      </c>
      <c r="G1395" t="str">
        <f>"00509049"</f>
        <v>00509049</v>
      </c>
      <c r="H1395">
        <v>21.6</v>
      </c>
      <c r="I1395">
        <v>0</v>
      </c>
      <c r="L1395">
        <v>4</v>
      </c>
      <c r="M1395">
        <v>0</v>
      </c>
      <c r="N1395">
        <v>4</v>
      </c>
      <c r="O1395">
        <v>0</v>
      </c>
      <c r="P1395">
        <v>25.6</v>
      </c>
      <c r="Q1395">
        <v>30</v>
      </c>
      <c r="R1395">
        <v>30</v>
      </c>
      <c r="S1395">
        <v>0</v>
      </c>
      <c r="T1395">
        <v>0</v>
      </c>
      <c r="U1395" s="1">
        <v>0</v>
      </c>
      <c r="V1395">
        <v>55.6</v>
      </c>
    </row>
    <row r="1396" spans="1:22" ht="15">
      <c r="A1396" s="4">
        <v>1389</v>
      </c>
      <c r="B1396">
        <v>889</v>
      </c>
      <c r="C1396" t="s">
        <v>1442</v>
      </c>
      <c r="D1396" t="s">
        <v>3150</v>
      </c>
      <c r="E1396" t="s">
        <v>19</v>
      </c>
      <c r="F1396" t="s">
        <v>3151</v>
      </c>
      <c r="G1396" t="str">
        <f>"201403000226"</f>
        <v>201403000226</v>
      </c>
      <c r="H1396">
        <v>21.6</v>
      </c>
      <c r="I1396">
        <v>0</v>
      </c>
      <c r="M1396">
        <v>0</v>
      </c>
      <c r="N1396">
        <v>0</v>
      </c>
      <c r="O1396">
        <v>2</v>
      </c>
      <c r="P1396">
        <v>23.6</v>
      </c>
      <c r="Q1396">
        <v>32</v>
      </c>
      <c r="R1396">
        <v>32</v>
      </c>
      <c r="S1396">
        <v>0</v>
      </c>
      <c r="T1396">
        <v>0</v>
      </c>
      <c r="U1396" s="1">
        <v>0</v>
      </c>
      <c r="V1396">
        <v>55.6</v>
      </c>
    </row>
    <row r="1397" spans="1:22" ht="15">
      <c r="A1397" s="4">
        <v>1390</v>
      </c>
      <c r="B1397">
        <v>1535</v>
      </c>
      <c r="C1397" t="s">
        <v>3152</v>
      </c>
      <c r="D1397" t="s">
        <v>173</v>
      </c>
      <c r="E1397" t="s">
        <v>90</v>
      </c>
      <c r="F1397" t="s">
        <v>3153</v>
      </c>
      <c r="G1397" t="str">
        <f>"00151713"</f>
        <v>00151713</v>
      </c>
      <c r="H1397">
        <v>21.6</v>
      </c>
      <c r="I1397">
        <v>0</v>
      </c>
      <c r="L1397">
        <v>4</v>
      </c>
      <c r="M1397">
        <v>4</v>
      </c>
      <c r="N1397">
        <v>4</v>
      </c>
      <c r="O1397">
        <v>2</v>
      </c>
      <c r="P1397">
        <v>31.6</v>
      </c>
      <c r="Q1397">
        <v>24</v>
      </c>
      <c r="R1397">
        <v>24</v>
      </c>
      <c r="S1397">
        <v>0</v>
      </c>
      <c r="T1397">
        <v>0</v>
      </c>
      <c r="U1397" s="1">
        <v>0</v>
      </c>
      <c r="V1397">
        <v>55.6</v>
      </c>
    </row>
    <row r="1398" spans="1:22" ht="15">
      <c r="A1398" s="4">
        <v>1391</v>
      </c>
      <c r="B1398">
        <v>343</v>
      </c>
      <c r="C1398" t="s">
        <v>3154</v>
      </c>
      <c r="D1398" t="s">
        <v>333</v>
      </c>
      <c r="E1398" t="s">
        <v>59</v>
      </c>
      <c r="F1398" t="s">
        <v>3155</v>
      </c>
      <c r="G1398" t="str">
        <f>"00525626"</f>
        <v>00525626</v>
      </c>
      <c r="H1398">
        <v>21.6</v>
      </c>
      <c r="I1398">
        <v>10</v>
      </c>
      <c r="M1398">
        <v>4</v>
      </c>
      <c r="N1398">
        <v>0</v>
      </c>
      <c r="O1398">
        <v>2</v>
      </c>
      <c r="P1398">
        <v>37.6</v>
      </c>
      <c r="Q1398">
        <v>12</v>
      </c>
      <c r="R1398">
        <v>12</v>
      </c>
      <c r="S1398">
        <v>6</v>
      </c>
      <c r="T1398">
        <v>0</v>
      </c>
      <c r="U1398" s="1">
        <v>0</v>
      </c>
      <c r="V1398">
        <v>55.6</v>
      </c>
    </row>
    <row r="1399" spans="1:22" ht="15">
      <c r="A1399" s="4">
        <v>1392</v>
      </c>
      <c r="B1399">
        <v>3056</v>
      </c>
      <c r="C1399" t="s">
        <v>3156</v>
      </c>
      <c r="D1399" t="s">
        <v>102</v>
      </c>
      <c r="E1399" t="s">
        <v>15</v>
      </c>
      <c r="F1399" t="s">
        <v>3157</v>
      </c>
      <c r="G1399" t="str">
        <f>"201502001571"</f>
        <v>201502001571</v>
      </c>
      <c r="H1399">
        <v>39.6</v>
      </c>
      <c r="I1399">
        <v>10</v>
      </c>
      <c r="K1399">
        <v>6</v>
      </c>
      <c r="M1399">
        <v>0</v>
      </c>
      <c r="N1399">
        <v>6</v>
      </c>
      <c r="O1399">
        <v>0</v>
      </c>
      <c r="P1399">
        <v>55.6</v>
      </c>
      <c r="Q1399">
        <v>0</v>
      </c>
      <c r="R1399">
        <v>0</v>
      </c>
      <c r="S1399">
        <v>0</v>
      </c>
      <c r="T1399">
        <v>0</v>
      </c>
      <c r="U1399" s="1">
        <v>0</v>
      </c>
      <c r="V1399">
        <v>55.6</v>
      </c>
    </row>
    <row r="1400" spans="1:22" ht="15">
      <c r="A1400" s="4">
        <v>1393</v>
      </c>
      <c r="B1400">
        <v>1909</v>
      </c>
      <c r="C1400" t="s">
        <v>3158</v>
      </c>
      <c r="D1400" t="s">
        <v>3159</v>
      </c>
      <c r="E1400" t="s">
        <v>55</v>
      </c>
      <c r="F1400" t="s">
        <v>3160</v>
      </c>
      <c r="G1400" t="str">
        <f>"00107736"</f>
        <v>00107736</v>
      </c>
      <c r="H1400">
        <v>35.6</v>
      </c>
      <c r="I1400">
        <v>10</v>
      </c>
      <c r="M1400">
        <v>4</v>
      </c>
      <c r="N1400">
        <v>0</v>
      </c>
      <c r="O1400">
        <v>0</v>
      </c>
      <c r="P1400">
        <v>49.6</v>
      </c>
      <c r="Q1400">
        <v>0</v>
      </c>
      <c r="R1400">
        <v>0</v>
      </c>
      <c r="S1400">
        <v>6</v>
      </c>
      <c r="T1400">
        <v>0</v>
      </c>
      <c r="U1400" s="1">
        <v>0</v>
      </c>
      <c r="V1400">
        <v>55.6</v>
      </c>
    </row>
    <row r="1401" spans="1:22" ht="15">
      <c r="A1401" s="4">
        <v>1394</v>
      </c>
      <c r="B1401">
        <v>2823</v>
      </c>
      <c r="C1401" t="s">
        <v>3161</v>
      </c>
      <c r="D1401" t="s">
        <v>511</v>
      </c>
      <c r="E1401" t="s">
        <v>11</v>
      </c>
      <c r="F1401" t="s">
        <v>3162</v>
      </c>
      <c r="G1401" t="str">
        <f>"00484491"</f>
        <v>00484491</v>
      </c>
      <c r="H1401">
        <v>21.6</v>
      </c>
      <c r="I1401">
        <v>0</v>
      </c>
      <c r="M1401">
        <v>4</v>
      </c>
      <c r="N1401">
        <v>0</v>
      </c>
      <c r="O1401">
        <v>0</v>
      </c>
      <c r="P1401">
        <v>25.6</v>
      </c>
      <c r="Q1401">
        <v>27</v>
      </c>
      <c r="R1401">
        <v>27</v>
      </c>
      <c r="S1401">
        <v>3</v>
      </c>
      <c r="T1401">
        <v>0</v>
      </c>
      <c r="U1401" s="1">
        <v>0</v>
      </c>
      <c r="V1401">
        <v>55.6</v>
      </c>
    </row>
    <row r="1402" spans="1:22" ht="15">
      <c r="A1402" s="4">
        <v>1395</v>
      </c>
      <c r="B1402">
        <v>2991</v>
      </c>
      <c r="C1402" t="s">
        <v>3163</v>
      </c>
      <c r="D1402" t="s">
        <v>1029</v>
      </c>
      <c r="E1402" t="s">
        <v>30</v>
      </c>
      <c r="F1402" t="s">
        <v>3164</v>
      </c>
      <c r="G1402" t="str">
        <f>"00533468"</f>
        <v>00533468</v>
      </c>
      <c r="H1402">
        <v>21.6</v>
      </c>
      <c r="I1402">
        <v>0</v>
      </c>
      <c r="M1402">
        <v>0</v>
      </c>
      <c r="N1402">
        <v>0</v>
      </c>
      <c r="O1402">
        <v>2</v>
      </c>
      <c r="P1402">
        <v>23.6</v>
      </c>
      <c r="Q1402">
        <v>32</v>
      </c>
      <c r="R1402">
        <v>32</v>
      </c>
      <c r="S1402">
        <v>0</v>
      </c>
      <c r="T1402">
        <v>0</v>
      </c>
      <c r="U1402" s="1">
        <v>0</v>
      </c>
      <c r="V1402">
        <v>55.6</v>
      </c>
    </row>
    <row r="1403" spans="1:22" ht="15">
      <c r="A1403" s="4">
        <v>1396</v>
      </c>
      <c r="B1403">
        <v>3270</v>
      </c>
      <c r="C1403" t="s">
        <v>3165</v>
      </c>
      <c r="D1403" t="s">
        <v>14</v>
      </c>
      <c r="E1403" t="s">
        <v>190</v>
      </c>
      <c r="F1403" t="s">
        <v>3166</v>
      </c>
      <c r="G1403" t="str">
        <f>"00442204"</f>
        <v>00442204</v>
      </c>
      <c r="H1403">
        <v>38.52</v>
      </c>
      <c r="I1403">
        <v>0</v>
      </c>
      <c r="M1403">
        <v>4</v>
      </c>
      <c r="N1403">
        <v>0</v>
      </c>
      <c r="O1403">
        <v>0</v>
      </c>
      <c r="P1403">
        <v>42.52</v>
      </c>
      <c r="Q1403">
        <v>10</v>
      </c>
      <c r="R1403">
        <v>10</v>
      </c>
      <c r="S1403">
        <v>3</v>
      </c>
      <c r="T1403">
        <v>0</v>
      </c>
      <c r="U1403" s="1">
        <v>0</v>
      </c>
      <c r="V1403">
        <v>55.52</v>
      </c>
    </row>
    <row r="1404" spans="1:22" ht="15">
      <c r="A1404" s="4">
        <v>1397</v>
      </c>
      <c r="B1404">
        <v>2637</v>
      </c>
      <c r="C1404" t="s">
        <v>3167</v>
      </c>
      <c r="D1404" t="s">
        <v>357</v>
      </c>
      <c r="E1404" t="s">
        <v>3168</v>
      </c>
      <c r="F1404" t="s">
        <v>3169</v>
      </c>
      <c r="G1404" t="str">
        <f>"00529880"</f>
        <v>00529880</v>
      </c>
      <c r="H1404">
        <v>31.44</v>
      </c>
      <c r="I1404">
        <v>0</v>
      </c>
      <c r="L1404">
        <v>4</v>
      </c>
      <c r="M1404">
        <v>4</v>
      </c>
      <c r="N1404">
        <v>4</v>
      </c>
      <c r="O1404">
        <v>0</v>
      </c>
      <c r="P1404">
        <v>39.44</v>
      </c>
      <c r="Q1404">
        <v>10</v>
      </c>
      <c r="R1404">
        <v>10</v>
      </c>
      <c r="S1404">
        <v>6</v>
      </c>
      <c r="T1404">
        <v>0</v>
      </c>
      <c r="U1404" s="1">
        <v>0</v>
      </c>
      <c r="V1404">
        <v>55.44</v>
      </c>
    </row>
    <row r="1405" spans="1:22" ht="15">
      <c r="A1405" s="4">
        <v>1398</v>
      </c>
      <c r="B1405">
        <v>3305</v>
      </c>
      <c r="C1405" t="s">
        <v>300</v>
      </c>
      <c r="D1405" t="s">
        <v>1006</v>
      </c>
      <c r="E1405" t="s">
        <v>30</v>
      </c>
      <c r="F1405" t="s">
        <v>3170</v>
      </c>
      <c r="G1405" t="str">
        <f>"00151347"</f>
        <v>00151347</v>
      </c>
      <c r="H1405">
        <v>14.4</v>
      </c>
      <c r="I1405">
        <v>0</v>
      </c>
      <c r="L1405">
        <v>4</v>
      </c>
      <c r="M1405">
        <v>4</v>
      </c>
      <c r="N1405">
        <v>4</v>
      </c>
      <c r="O1405">
        <v>0</v>
      </c>
      <c r="P1405">
        <v>22.4</v>
      </c>
      <c r="Q1405">
        <v>33</v>
      </c>
      <c r="R1405">
        <v>33</v>
      </c>
      <c r="S1405">
        <v>0</v>
      </c>
      <c r="T1405">
        <v>0</v>
      </c>
      <c r="U1405" s="1">
        <v>0</v>
      </c>
      <c r="V1405">
        <v>55.4</v>
      </c>
    </row>
    <row r="1406" spans="1:22" ht="15">
      <c r="A1406" s="4">
        <v>1399</v>
      </c>
      <c r="B1406">
        <v>1429</v>
      </c>
      <c r="C1406" t="s">
        <v>708</v>
      </c>
      <c r="D1406" t="s">
        <v>58</v>
      </c>
      <c r="E1406" t="s">
        <v>197</v>
      </c>
      <c r="F1406" t="s">
        <v>3171</v>
      </c>
      <c r="G1406" t="str">
        <f>"201604001732"</f>
        <v>201604001732</v>
      </c>
      <c r="H1406">
        <v>24.28</v>
      </c>
      <c r="I1406">
        <v>0</v>
      </c>
      <c r="M1406">
        <v>4</v>
      </c>
      <c r="N1406">
        <v>0</v>
      </c>
      <c r="O1406">
        <v>0</v>
      </c>
      <c r="P1406">
        <v>28.28</v>
      </c>
      <c r="Q1406">
        <v>27</v>
      </c>
      <c r="R1406">
        <v>27</v>
      </c>
      <c r="S1406">
        <v>0</v>
      </c>
      <c r="T1406">
        <v>0</v>
      </c>
      <c r="U1406" s="1">
        <v>0</v>
      </c>
      <c r="V1406">
        <v>55.28</v>
      </c>
    </row>
    <row r="1407" spans="1:22" ht="15">
      <c r="A1407" s="4">
        <v>1400</v>
      </c>
      <c r="B1407">
        <v>167</v>
      </c>
      <c r="C1407" t="s">
        <v>3172</v>
      </c>
      <c r="D1407" t="s">
        <v>130</v>
      </c>
      <c r="E1407" t="s">
        <v>201</v>
      </c>
      <c r="F1407" t="s">
        <v>3173</v>
      </c>
      <c r="G1407" t="str">
        <f>"00138593"</f>
        <v>00138593</v>
      </c>
      <c r="H1407">
        <v>28.28</v>
      </c>
      <c r="I1407">
        <v>10</v>
      </c>
      <c r="M1407">
        <v>0</v>
      </c>
      <c r="N1407">
        <v>0</v>
      </c>
      <c r="O1407">
        <v>0</v>
      </c>
      <c r="P1407">
        <v>38.28</v>
      </c>
      <c r="Q1407">
        <v>14</v>
      </c>
      <c r="R1407">
        <v>14</v>
      </c>
      <c r="S1407">
        <v>3</v>
      </c>
      <c r="T1407">
        <v>0</v>
      </c>
      <c r="U1407" s="1">
        <v>0</v>
      </c>
      <c r="V1407">
        <v>55.28</v>
      </c>
    </row>
    <row r="1408" spans="1:22" ht="15">
      <c r="A1408" s="4">
        <v>1401</v>
      </c>
      <c r="B1408">
        <v>947</v>
      </c>
      <c r="C1408" t="s">
        <v>1287</v>
      </c>
      <c r="D1408" t="s">
        <v>3174</v>
      </c>
      <c r="E1408" t="s">
        <v>19</v>
      </c>
      <c r="F1408" t="s">
        <v>3175</v>
      </c>
      <c r="G1408" t="str">
        <f>"00045567"</f>
        <v>00045567</v>
      </c>
      <c r="H1408">
        <v>26.28</v>
      </c>
      <c r="I1408">
        <v>0</v>
      </c>
      <c r="M1408">
        <v>4</v>
      </c>
      <c r="N1408">
        <v>0</v>
      </c>
      <c r="O1408">
        <v>0</v>
      </c>
      <c r="P1408">
        <v>30.28</v>
      </c>
      <c r="Q1408">
        <v>16</v>
      </c>
      <c r="R1408">
        <v>16</v>
      </c>
      <c r="S1408">
        <v>9</v>
      </c>
      <c r="T1408">
        <v>0</v>
      </c>
      <c r="U1408" s="1">
        <v>0</v>
      </c>
      <c r="V1408">
        <v>55.28</v>
      </c>
    </row>
    <row r="1409" spans="1:22" ht="15">
      <c r="A1409" s="4">
        <v>1402</v>
      </c>
      <c r="B1409">
        <v>871</v>
      </c>
      <c r="C1409" t="s">
        <v>3176</v>
      </c>
      <c r="D1409" t="s">
        <v>643</v>
      </c>
      <c r="E1409" t="s">
        <v>11</v>
      </c>
      <c r="F1409" t="s">
        <v>3177</v>
      </c>
      <c r="G1409" t="str">
        <f>"00497721"</f>
        <v>00497721</v>
      </c>
      <c r="H1409">
        <v>43.2</v>
      </c>
      <c r="I1409">
        <v>0</v>
      </c>
      <c r="J1409">
        <v>8</v>
      </c>
      <c r="M1409">
        <v>4</v>
      </c>
      <c r="N1409">
        <v>8</v>
      </c>
      <c r="O1409">
        <v>0</v>
      </c>
      <c r="P1409">
        <v>55.2</v>
      </c>
      <c r="Q1409">
        <v>0</v>
      </c>
      <c r="R1409">
        <v>0</v>
      </c>
      <c r="S1409">
        <v>0</v>
      </c>
      <c r="T1409">
        <v>0</v>
      </c>
      <c r="U1409" s="1">
        <v>0</v>
      </c>
      <c r="V1409">
        <v>55.2</v>
      </c>
    </row>
    <row r="1410" spans="1:22" ht="15">
      <c r="A1410" s="4">
        <v>1403</v>
      </c>
      <c r="B1410">
        <v>173</v>
      </c>
      <c r="C1410" t="s">
        <v>3178</v>
      </c>
      <c r="D1410" t="s">
        <v>582</v>
      </c>
      <c r="E1410" t="s">
        <v>23</v>
      </c>
      <c r="F1410" t="s">
        <v>3179</v>
      </c>
      <c r="G1410" t="str">
        <f>"00265454"</f>
        <v>00265454</v>
      </c>
      <c r="H1410">
        <v>43.2</v>
      </c>
      <c r="I1410">
        <v>0</v>
      </c>
      <c r="J1410">
        <v>8</v>
      </c>
      <c r="M1410">
        <v>4</v>
      </c>
      <c r="N1410">
        <v>8</v>
      </c>
      <c r="O1410">
        <v>0</v>
      </c>
      <c r="P1410">
        <v>55.2</v>
      </c>
      <c r="Q1410">
        <v>0</v>
      </c>
      <c r="R1410">
        <v>0</v>
      </c>
      <c r="S1410">
        <v>0</v>
      </c>
      <c r="T1410">
        <v>0</v>
      </c>
      <c r="U1410" s="1">
        <v>0</v>
      </c>
      <c r="V1410">
        <v>55.2</v>
      </c>
    </row>
    <row r="1411" spans="1:22" ht="15">
      <c r="A1411" s="4">
        <v>1404</v>
      </c>
      <c r="B1411">
        <v>3396</v>
      </c>
      <c r="C1411" t="s">
        <v>3180</v>
      </c>
      <c r="D1411" t="s">
        <v>3181</v>
      </c>
      <c r="E1411" t="s">
        <v>30</v>
      </c>
      <c r="F1411" t="s">
        <v>3182</v>
      </c>
      <c r="G1411" t="str">
        <f>"00421882"</f>
        <v>00421882</v>
      </c>
      <c r="H1411">
        <v>43.2</v>
      </c>
      <c r="I1411">
        <v>0</v>
      </c>
      <c r="J1411">
        <v>8</v>
      </c>
      <c r="M1411">
        <v>4</v>
      </c>
      <c r="N1411">
        <v>8</v>
      </c>
      <c r="O1411">
        <v>0</v>
      </c>
      <c r="P1411">
        <v>55.2</v>
      </c>
      <c r="Q1411">
        <v>0</v>
      </c>
      <c r="R1411">
        <v>0</v>
      </c>
      <c r="S1411">
        <v>0</v>
      </c>
      <c r="T1411">
        <v>0</v>
      </c>
      <c r="U1411" s="1">
        <v>0</v>
      </c>
      <c r="V1411">
        <v>55.2</v>
      </c>
    </row>
    <row r="1412" spans="1:22" ht="15">
      <c r="A1412" s="4">
        <v>1405</v>
      </c>
      <c r="B1412">
        <v>3151</v>
      </c>
      <c r="C1412" t="s">
        <v>413</v>
      </c>
      <c r="D1412" t="s">
        <v>3183</v>
      </c>
      <c r="E1412" t="s">
        <v>23</v>
      </c>
      <c r="F1412" t="s">
        <v>3184</v>
      </c>
      <c r="G1412" t="str">
        <f>"201511042005"</f>
        <v>201511042005</v>
      </c>
      <c r="H1412">
        <v>43.2</v>
      </c>
      <c r="I1412">
        <v>0</v>
      </c>
      <c r="J1412">
        <v>8</v>
      </c>
      <c r="M1412">
        <v>4</v>
      </c>
      <c r="N1412">
        <v>8</v>
      </c>
      <c r="O1412">
        <v>0</v>
      </c>
      <c r="P1412">
        <v>55.2</v>
      </c>
      <c r="Q1412">
        <v>0</v>
      </c>
      <c r="R1412">
        <v>0</v>
      </c>
      <c r="S1412">
        <v>0</v>
      </c>
      <c r="T1412">
        <v>0</v>
      </c>
      <c r="U1412" s="1">
        <v>0</v>
      </c>
      <c r="V1412">
        <v>55.2</v>
      </c>
    </row>
    <row r="1413" spans="1:22" ht="15">
      <c r="A1413" s="4">
        <v>1406</v>
      </c>
      <c r="B1413">
        <v>759</v>
      </c>
      <c r="C1413" t="s">
        <v>1902</v>
      </c>
      <c r="D1413" t="s">
        <v>2203</v>
      </c>
      <c r="E1413" t="s">
        <v>83</v>
      </c>
      <c r="F1413" t="s">
        <v>3185</v>
      </c>
      <c r="G1413" t="str">
        <f>"00529940"</f>
        <v>00529940</v>
      </c>
      <c r="H1413">
        <v>43.2</v>
      </c>
      <c r="I1413">
        <v>0</v>
      </c>
      <c r="J1413">
        <v>8</v>
      </c>
      <c r="M1413">
        <v>4</v>
      </c>
      <c r="N1413">
        <v>8</v>
      </c>
      <c r="O1413">
        <v>0</v>
      </c>
      <c r="P1413">
        <v>55.2</v>
      </c>
      <c r="Q1413">
        <v>0</v>
      </c>
      <c r="R1413">
        <v>0</v>
      </c>
      <c r="S1413">
        <v>0</v>
      </c>
      <c r="T1413">
        <v>0</v>
      </c>
      <c r="U1413" s="1">
        <v>0</v>
      </c>
      <c r="V1413">
        <v>55.2</v>
      </c>
    </row>
    <row r="1414" spans="1:22" ht="15">
      <c r="A1414" s="4">
        <v>1407</v>
      </c>
      <c r="B1414">
        <v>717</v>
      </c>
      <c r="C1414" t="s">
        <v>3186</v>
      </c>
      <c r="D1414" t="s">
        <v>280</v>
      </c>
      <c r="E1414" t="s">
        <v>11</v>
      </c>
      <c r="F1414" t="s">
        <v>3187</v>
      </c>
      <c r="G1414" t="str">
        <f>"00531045"</f>
        <v>00531045</v>
      </c>
      <c r="H1414">
        <v>43.2</v>
      </c>
      <c r="I1414">
        <v>0</v>
      </c>
      <c r="L1414">
        <v>4</v>
      </c>
      <c r="M1414">
        <v>4</v>
      </c>
      <c r="N1414">
        <v>4</v>
      </c>
      <c r="O1414">
        <v>0</v>
      </c>
      <c r="P1414">
        <v>51.2</v>
      </c>
      <c r="Q1414">
        <v>1</v>
      </c>
      <c r="R1414">
        <v>1</v>
      </c>
      <c r="S1414">
        <v>3</v>
      </c>
      <c r="T1414">
        <v>0</v>
      </c>
      <c r="U1414" s="1">
        <v>0</v>
      </c>
      <c r="V1414">
        <v>55.2</v>
      </c>
    </row>
    <row r="1415" spans="1:22" ht="15">
      <c r="A1415" s="4">
        <v>1408</v>
      </c>
      <c r="B1415">
        <v>2445</v>
      </c>
      <c r="C1415" t="s">
        <v>3188</v>
      </c>
      <c r="D1415" t="s">
        <v>626</v>
      </c>
      <c r="E1415" t="s">
        <v>1120</v>
      </c>
      <c r="F1415" t="s">
        <v>3189</v>
      </c>
      <c r="G1415" t="str">
        <f>"00523509"</f>
        <v>00523509</v>
      </c>
      <c r="H1415">
        <v>43.2</v>
      </c>
      <c r="I1415">
        <v>0</v>
      </c>
      <c r="M1415">
        <v>4</v>
      </c>
      <c r="N1415">
        <v>0</v>
      </c>
      <c r="O1415">
        <v>0</v>
      </c>
      <c r="P1415">
        <v>47.2</v>
      </c>
      <c r="Q1415">
        <v>8</v>
      </c>
      <c r="R1415">
        <v>8</v>
      </c>
      <c r="S1415">
        <v>0</v>
      </c>
      <c r="T1415">
        <v>0</v>
      </c>
      <c r="U1415" s="1">
        <v>0</v>
      </c>
      <c r="V1415">
        <v>55.2</v>
      </c>
    </row>
    <row r="1416" spans="1:22" ht="15">
      <c r="A1416" s="4">
        <v>1409</v>
      </c>
      <c r="B1416">
        <v>3017</v>
      </c>
      <c r="C1416" t="s">
        <v>3190</v>
      </c>
      <c r="D1416" t="s">
        <v>640</v>
      </c>
      <c r="E1416" t="s">
        <v>1306</v>
      </c>
      <c r="F1416" t="s">
        <v>3191</v>
      </c>
      <c r="G1416" t="str">
        <f>"00530898"</f>
        <v>00530898</v>
      </c>
      <c r="H1416">
        <v>10.2</v>
      </c>
      <c r="I1416">
        <v>0</v>
      </c>
      <c r="M1416">
        <v>4</v>
      </c>
      <c r="N1416">
        <v>0</v>
      </c>
      <c r="O1416">
        <v>0</v>
      </c>
      <c r="P1416">
        <v>14.2</v>
      </c>
      <c r="Q1416">
        <v>41</v>
      </c>
      <c r="R1416">
        <v>41</v>
      </c>
      <c r="S1416">
        <v>0</v>
      </c>
      <c r="T1416">
        <v>0</v>
      </c>
      <c r="U1416" s="1">
        <v>0</v>
      </c>
      <c r="V1416">
        <v>55.2</v>
      </c>
    </row>
    <row r="1417" spans="1:22" ht="15">
      <c r="A1417" s="4">
        <v>1410</v>
      </c>
      <c r="B1417">
        <v>1814</v>
      </c>
      <c r="C1417" t="s">
        <v>3192</v>
      </c>
      <c r="D1417" t="s">
        <v>26</v>
      </c>
      <c r="E1417" t="s">
        <v>41</v>
      </c>
      <c r="F1417" t="s">
        <v>3193</v>
      </c>
      <c r="G1417" t="str">
        <f>"00529340"</f>
        <v>00529340</v>
      </c>
      <c r="H1417">
        <v>43.2</v>
      </c>
      <c r="I1417">
        <v>0</v>
      </c>
      <c r="K1417">
        <v>6</v>
      </c>
      <c r="M1417">
        <v>4</v>
      </c>
      <c r="N1417">
        <v>6</v>
      </c>
      <c r="O1417">
        <v>2</v>
      </c>
      <c r="P1417">
        <v>55.2</v>
      </c>
      <c r="Q1417">
        <v>0</v>
      </c>
      <c r="R1417">
        <v>0</v>
      </c>
      <c r="S1417">
        <v>0</v>
      </c>
      <c r="T1417">
        <v>0</v>
      </c>
      <c r="U1417" s="1">
        <v>0</v>
      </c>
      <c r="V1417">
        <v>55.2</v>
      </c>
    </row>
    <row r="1418" spans="1:22" ht="15">
      <c r="A1418" s="4">
        <v>1411</v>
      </c>
      <c r="B1418">
        <v>2521</v>
      </c>
      <c r="C1418" t="s">
        <v>2424</v>
      </c>
      <c r="D1418" t="s">
        <v>14</v>
      </c>
      <c r="E1418" t="s">
        <v>157</v>
      </c>
      <c r="F1418" t="s">
        <v>3194</v>
      </c>
      <c r="G1418" t="str">
        <f>"00533027"</f>
        <v>00533027</v>
      </c>
      <c r="H1418">
        <v>43.2</v>
      </c>
      <c r="I1418">
        <v>0</v>
      </c>
      <c r="J1418">
        <v>8</v>
      </c>
      <c r="M1418">
        <v>4</v>
      </c>
      <c r="N1418">
        <v>8</v>
      </c>
      <c r="O1418">
        <v>0</v>
      </c>
      <c r="P1418">
        <v>55.2</v>
      </c>
      <c r="Q1418">
        <v>0</v>
      </c>
      <c r="R1418">
        <v>0</v>
      </c>
      <c r="S1418">
        <v>0</v>
      </c>
      <c r="T1418">
        <v>0</v>
      </c>
      <c r="U1418" s="1">
        <v>0</v>
      </c>
      <c r="V1418">
        <v>55.2</v>
      </c>
    </row>
    <row r="1419" spans="1:22" ht="15">
      <c r="A1419" s="4">
        <v>1412</v>
      </c>
      <c r="B1419">
        <v>259</v>
      </c>
      <c r="C1419" t="s">
        <v>3195</v>
      </c>
      <c r="D1419" t="s">
        <v>211</v>
      </c>
      <c r="E1419" t="s">
        <v>2369</v>
      </c>
      <c r="F1419" t="s">
        <v>3196</v>
      </c>
      <c r="G1419" t="str">
        <f>"200911000270"</f>
        <v>200911000270</v>
      </c>
      <c r="H1419">
        <v>0</v>
      </c>
      <c r="I1419">
        <v>0</v>
      </c>
      <c r="M1419">
        <v>4</v>
      </c>
      <c r="N1419">
        <v>0</v>
      </c>
      <c r="O1419">
        <v>2</v>
      </c>
      <c r="P1419">
        <v>6</v>
      </c>
      <c r="Q1419">
        <v>49</v>
      </c>
      <c r="R1419">
        <v>49</v>
      </c>
      <c r="S1419">
        <v>0</v>
      </c>
      <c r="T1419">
        <v>0</v>
      </c>
      <c r="U1419" s="1">
        <v>0</v>
      </c>
      <c r="V1419">
        <v>55</v>
      </c>
    </row>
    <row r="1420" spans="1:22" ht="15">
      <c r="A1420" s="4">
        <v>1413</v>
      </c>
      <c r="B1420">
        <v>3298</v>
      </c>
      <c r="C1420" t="s">
        <v>3197</v>
      </c>
      <c r="D1420" t="s">
        <v>193</v>
      </c>
      <c r="E1420" t="s">
        <v>3198</v>
      </c>
      <c r="F1420" t="s">
        <v>3199</v>
      </c>
      <c r="G1420" t="str">
        <f>"00442112"</f>
        <v>00442112</v>
      </c>
      <c r="H1420">
        <v>36</v>
      </c>
      <c r="I1420">
        <v>0</v>
      </c>
      <c r="M1420">
        <v>4</v>
      </c>
      <c r="N1420">
        <v>0</v>
      </c>
      <c r="O1420">
        <v>0</v>
      </c>
      <c r="P1420">
        <v>40</v>
      </c>
      <c r="Q1420">
        <v>15</v>
      </c>
      <c r="R1420">
        <v>15</v>
      </c>
      <c r="S1420">
        <v>0</v>
      </c>
      <c r="T1420">
        <v>0</v>
      </c>
      <c r="U1420" s="1">
        <v>0</v>
      </c>
      <c r="V1420">
        <v>55</v>
      </c>
    </row>
    <row r="1421" spans="1:22" ht="15">
      <c r="A1421" s="4">
        <v>1414</v>
      </c>
      <c r="B1421">
        <v>1034</v>
      </c>
      <c r="C1421" t="s">
        <v>3200</v>
      </c>
      <c r="D1421" t="s">
        <v>14</v>
      </c>
      <c r="E1421" t="s">
        <v>732</v>
      </c>
      <c r="F1421" t="s">
        <v>3201</v>
      </c>
      <c r="G1421" t="str">
        <f>"00206508"</f>
        <v>00206508</v>
      </c>
      <c r="H1421">
        <v>40</v>
      </c>
      <c r="I1421">
        <v>0</v>
      </c>
      <c r="J1421">
        <v>8</v>
      </c>
      <c r="M1421">
        <v>4</v>
      </c>
      <c r="N1421">
        <v>8</v>
      </c>
      <c r="O1421">
        <v>0</v>
      </c>
      <c r="P1421">
        <v>52</v>
      </c>
      <c r="Q1421">
        <v>3</v>
      </c>
      <c r="R1421">
        <v>3</v>
      </c>
      <c r="S1421">
        <v>0</v>
      </c>
      <c r="T1421">
        <v>0</v>
      </c>
      <c r="U1421" s="1">
        <v>0</v>
      </c>
      <c r="V1421">
        <v>55</v>
      </c>
    </row>
    <row r="1422" spans="1:22" ht="15">
      <c r="A1422" s="4">
        <v>1415</v>
      </c>
      <c r="B1422">
        <v>2050</v>
      </c>
      <c r="C1422" t="s">
        <v>3202</v>
      </c>
      <c r="D1422" t="s">
        <v>189</v>
      </c>
      <c r="E1422" t="s">
        <v>11</v>
      </c>
      <c r="F1422" t="s">
        <v>3203</v>
      </c>
      <c r="G1422" t="str">
        <f>"00162367"</f>
        <v>00162367</v>
      </c>
      <c r="H1422">
        <v>28</v>
      </c>
      <c r="I1422">
        <v>10</v>
      </c>
      <c r="M1422">
        <v>4</v>
      </c>
      <c r="N1422">
        <v>0</v>
      </c>
      <c r="O1422">
        <v>0</v>
      </c>
      <c r="P1422">
        <v>42</v>
      </c>
      <c r="Q1422">
        <v>13</v>
      </c>
      <c r="R1422">
        <v>13</v>
      </c>
      <c r="S1422">
        <v>0</v>
      </c>
      <c r="T1422">
        <v>0</v>
      </c>
      <c r="U1422" s="1">
        <v>0</v>
      </c>
      <c r="V1422">
        <v>55</v>
      </c>
    </row>
    <row r="1423" spans="1:22" ht="15">
      <c r="A1423" s="4">
        <v>1416</v>
      </c>
      <c r="B1423">
        <v>777</v>
      </c>
      <c r="C1423" t="s">
        <v>3204</v>
      </c>
      <c r="D1423" t="s">
        <v>1006</v>
      </c>
      <c r="E1423" t="s">
        <v>55</v>
      </c>
      <c r="F1423" t="s">
        <v>3205</v>
      </c>
      <c r="G1423" t="str">
        <f>"00525585"</f>
        <v>00525585</v>
      </c>
      <c r="H1423">
        <v>36</v>
      </c>
      <c r="I1423">
        <v>0</v>
      </c>
      <c r="M1423">
        <v>0</v>
      </c>
      <c r="N1423">
        <v>0</v>
      </c>
      <c r="O1423">
        <v>0</v>
      </c>
      <c r="P1423">
        <v>36</v>
      </c>
      <c r="Q1423">
        <v>19</v>
      </c>
      <c r="R1423">
        <v>19</v>
      </c>
      <c r="S1423">
        <v>0</v>
      </c>
      <c r="T1423">
        <v>0</v>
      </c>
      <c r="U1423" s="1">
        <v>0</v>
      </c>
      <c r="V1423">
        <v>55</v>
      </c>
    </row>
    <row r="1424" spans="1:22" ht="15">
      <c r="A1424" s="4">
        <v>1417</v>
      </c>
      <c r="B1424">
        <v>2198</v>
      </c>
      <c r="C1424" t="s">
        <v>3206</v>
      </c>
      <c r="D1424" t="s">
        <v>1007</v>
      </c>
      <c r="E1424" t="s">
        <v>83</v>
      </c>
      <c r="F1424" t="s">
        <v>3207</v>
      </c>
      <c r="G1424" t="str">
        <f>"201512003511"</f>
        <v>201512003511</v>
      </c>
      <c r="H1424">
        <v>36</v>
      </c>
      <c r="I1424">
        <v>0</v>
      </c>
      <c r="M1424">
        <v>4</v>
      </c>
      <c r="N1424">
        <v>0</v>
      </c>
      <c r="O1424">
        <v>0</v>
      </c>
      <c r="P1424">
        <v>40</v>
      </c>
      <c r="Q1424">
        <v>6</v>
      </c>
      <c r="R1424">
        <v>6</v>
      </c>
      <c r="S1424">
        <v>9</v>
      </c>
      <c r="T1424">
        <v>0</v>
      </c>
      <c r="U1424" s="1">
        <v>0</v>
      </c>
      <c r="V1424">
        <v>55</v>
      </c>
    </row>
    <row r="1425" spans="1:22" ht="15">
      <c r="A1425" s="4">
        <v>1418</v>
      </c>
      <c r="B1425">
        <v>896</v>
      </c>
      <c r="C1425" t="s">
        <v>3208</v>
      </c>
      <c r="D1425" t="s">
        <v>3208</v>
      </c>
      <c r="E1425" t="s">
        <v>11</v>
      </c>
      <c r="F1425" t="s">
        <v>3209</v>
      </c>
      <c r="G1425" t="str">
        <f>"00516848"</f>
        <v>00516848</v>
      </c>
      <c r="H1425">
        <v>0</v>
      </c>
      <c r="I1425">
        <v>0</v>
      </c>
      <c r="M1425">
        <v>4</v>
      </c>
      <c r="N1425">
        <v>0</v>
      </c>
      <c r="O1425">
        <v>0</v>
      </c>
      <c r="P1425">
        <v>4</v>
      </c>
      <c r="Q1425">
        <v>48</v>
      </c>
      <c r="R1425">
        <v>48</v>
      </c>
      <c r="S1425">
        <v>3</v>
      </c>
      <c r="T1425">
        <v>0</v>
      </c>
      <c r="U1425" s="1">
        <v>0</v>
      </c>
      <c r="V1425">
        <v>55</v>
      </c>
    </row>
    <row r="1426" spans="1:22" ht="15">
      <c r="A1426" s="4">
        <v>1419</v>
      </c>
      <c r="B1426">
        <v>2244</v>
      </c>
      <c r="C1426" t="s">
        <v>3210</v>
      </c>
      <c r="D1426" t="s">
        <v>160</v>
      </c>
      <c r="E1426" t="s">
        <v>167</v>
      </c>
      <c r="F1426" t="s">
        <v>3211</v>
      </c>
      <c r="G1426" t="str">
        <f>"00502739"</f>
        <v>00502739</v>
      </c>
      <c r="H1426">
        <v>34.92</v>
      </c>
      <c r="I1426">
        <v>10</v>
      </c>
      <c r="M1426">
        <v>4</v>
      </c>
      <c r="N1426">
        <v>0</v>
      </c>
      <c r="O1426">
        <v>0</v>
      </c>
      <c r="P1426">
        <v>48.92</v>
      </c>
      <c r="Q1426">
        <v>0</v>
      </c>
      <c r="R1426">
        <v>0</v>
      </c>
      <c r="S1426">
        <v>6</v>
      </c>
      <c r="T1426">
        <v>0</v>
      </c>
      <c r="U1426" s="1">
        <v>0</v>
      </c>
      <c r="V1426">
        <v>54.92</v>
      </c>
    </row>
    <row r="1427" spans="1:22" ht="15">
      <c r="A1427" s="4">
        <v>1420</v>
      </c>
      <c r="B1427">
        <v>186</v>
      </c>
      <c r="C1427" t="s">
        <v>926</v>
      </c>
      <c r="D1427" t="s">
        <v>640</v>
      </c>
      <c r="E1427" t="s">
        <v>197</v>
      </c>
      <c r="F1427" t="s">
        <v>3212</v>
      </c>
      <c r="G1427" t="str">
        <f>"00441581"</f>
        <v>00441581</v>
      </c>
      <c r="H1427">
        <v>24.84</v>
      </c>
      <c r="I1427">
        <v>0</v>
      </c>
      <c r="M1427">
        <v>4</v>
      </c>
      <c r="N1427">
        <v>0</v>
      </c>
      <c r="O1427">
        <v>0</v>
      </c>
      <c r="P1427">
        <v>28.84</v>
      </c>
      <c r="Q1427">
        <v>26</v>
      </c>
      <c r="R1427">
        <v>26</v>
      </c>
      <c r="S1427">
        <v>0</v>
      </c>
      <c r="T1427">
        <v>0</v>
      </c>
      <c r="U1427" s="1">
        <v>0</v>
      </c>
      <c r="V1427">
        <v>54.84</v>
      </c>
    </row>
    <row r="1428" spans="1:22" ht="15">
      <c r="A1428" s="4">
        <v>1421</v>
      </c>
      <c r="B1428">
        <v>1375</v>
      </c>
      <c r="C1428" t="s">
        <v>3213</v>
      </c>
      <c r="D1428" t="s">
        <v>40</v>
      </c>
      <c r="E1428" t="s">
        <v>403</v>
      </c>
      <c r="F1428" t="s">
        <v>3214</v>
      </c>
      <c r="G1428" t="str">
        <f>"00529773"</f>
        <v>00529773</v>
      </c>
      <c r="H1428">
        <v>16.84</v>
      </c>
      <c r="I1428">
        <v>10</v>
      </c>
      <c r="M1428">
        <v>4</v>
      </c>
      <c r="N1428">
        <v>0</v>
      </c>
      <c r="O1428">
        <v>0</v>
      </c>
      <c r="P1428">
        <v>30.84</v>
      </c>
      <c r="Q1428">
        <v>18</v>
      </c>
      <c r="R1428">
        <v>18</v>
      </c>
      <c r="S1428">
        <v>6</v>
      </c>
      <c r="T1428">
        <v>0</v>
      </c>
      <c r="U1428" s="1">
        <v>0</v>
      </c>
      <c r="V1428">
        <v>54.84</v>
      </c>
    </row>
    <row r="1429" spans="1:22" ht="15">
      <c r="A1429" s="4">
        <v>1422</v>
      </c>
      <c r="B1429">
        <v>1675</v>
      </c>
      <c r="C1429" t="s">
        <v>1809</v>
      </c>
      <c r="D1429" t="s">
        <v>3215</v>
      </c>
      <c r="E1429" t="s">
        <v>3216</v>
      </c>
      <c r="F1429" t="s">
        <v>3217</v>
      </c>
      <c r="G1429" t="str">
        <f>"00441496"</f>
        <v>00441496</v>
      </c>
      <c r="H1429">
        <v>28.8</v>
      </c>
      <c r="I1429">
        <v>0</v>
      </c>
      <c r="L1429">
        <v>4</v>
      </c>
      <c r="M1429">
        <v>4</v>
      </c>
      <c r="N1429">
        <v>4</v>
      </c>
      <c r="O1429">
        <v>0</v>
      </c>
      <c r="P1429">
        <v>36.8</v>
      </c>
      <c r="Q1429">
        <v>18</v>
      </c>
      <c r="R1429">
        <v>18</v>
      </c>
      <c r="S1429">
        <v>0</v>
      </c>
      <c r="T1429">
        <v>0</v>
      </c>
      <c r="U1429" s="1">
        <v>0</v>
      </c>
      <c r="V1429">
        <v>54.8</v>
      </c>
    </row>
    <row r="1430" spans="1:22" ht="15">
      <c r="A1430" s="4">
        <v>1423</v>
      </c>
      <c r="B1430">
        <v>2283</v>
      </c>
      <c r="C1430" t="s">
        <v>3218</v>
      </c>
      <c r="D1430" t="s">
        <v>40</v>
      </c>
      <c r="E1430" t="s">
        <v>90</v>
      </c>
      <c r="F1430" t="s">
        <v>3219</v>
      </c>
      <c r="G1430" t="str">
        <f>"00528079"</f>
        <v>00528079</v>
      </c>
      <c r="H1430">
        <v>28.8</v>
      </c>
      <c r="I1430">
        <v>10</v>
      </c>
      <c r="M1430">
        <v>4</v>
      </c>
      <c r="N1430">
        <v>0</v>
      </c>
      <c r="O1430">
        <v>0</v>
      </c>
      <c r="P1430">
        <v>42.8</v>
      </c>
      <c r="Q1430">
        <v>6</v>
      </c>
      <c r="R1430">
        <v>6</v>
      </c>
      <c r="S1430">
        <v>6</v>
      </c>
      <c r="T1430">
        <v>0</v>
      </c>
      <c r="U1430" s="1">
        <v>0</v>
      </c>
      <c r="V1430">
        <v>54.8</v>
      </c>
    </row>
    <row r="1431" spans="1:22" ht="15">
      <c r="A1431" s="4">
        <v>1424</v>
      </c>
      <c r="B1431">
        <v>1361</v>
      </c>
      <c r="C1431" t="s">
        <v>3220</v>
      </c>
      <c r="D1431" t="s">
        <v>121</v>
      </c>
      <c r="E1431" t="s">
        <v>3221</v>
      </c>
      <c r="F1431" t="s">
        <v>3222</v>
      </c>
      <c r="G1431" t="str">
        <f>"201603000086"</f>
        <v>201603000086</v>
      </c>
      <c r="H1431">
        <v>33.8</v>
      </c>
      <c r="I1431">
        <v>0</v>
      </c>
      <c r="M1431">
        <v>4</v>
      </c>
      <c r="N1431">
        <v>0</v>
      </c>
      <c r="O1431">
        <v>0</v>
      </c>
      <c r="P1431">
        <v>37.8</v>
      </c>
      <c r="Q1431">
        <v>17</v>
      </c>
      <c r="R1431">
        <v>17</v>
      </c>
      <c r="S1431">
        <v>0</v>
      </c>
      <c r="T1431">
        <v>0</v>
      </c>
      <c r="U1431" s="1">
        <v>0</v>
      </c>
      <c r="V1431">
        <v>54.8</v>
      </c>
    </row>
    <row r="1432" spans="1:22" ht="15">
      <c r="A1432" s="4">
        <v>1425</v>
      </c>
      <c r="B1432">
        <v>2950</v>
      </c>
      <c r="C1432" t="s">
        <v>3131</v>
      </c>
      <c r="D1432" t="s">
        <v>273</v>
      </c>
      <c r="E1432" t="s">
        <v>593</v>
      </c>
      <c r="F1432" t="s">
        <v>3223</v>
      </c>
      <c r="G1432" t="str">
        <f>"00515821"</f>
        <v>00515821</v>
      </c>
      <c r="H1432">
        <v>28.8</v>
      </c>
      <c r="I1432">
        <v>0</v>
      </c>
      <c r="L1432">
        <v>4</v>
      </c>
      <c r="M1432">
        <v>4</v>
      </c>
      <c r="N1432">
        <v>4</v>
      </c>
      <c r="O1432">
        <v>2</v>
      </c>
      <c r="P1432">
        <v>38.8</v>
      </c>
      <c r="Q1432">
        <v>16</v>
      </c>
      <c r="R1432">
        <v>16</v>
      </c>
      <c r="S1432">
        <v>0</v>
      </c>
      <c r="T1432">
        <v>0</v>
      </c>
      <c r="U1432" s="1">
        <v>0</v>
      </c>
      <c r="V1432">
        <v>54.8</v>
      </c>
    </row>
    <row r="1433" spans="1:22" ht="15">
      <c r="A1433" s="4">
        <v>1426</v>
      </c>
      <c r="B1433">
        <v>3094</v>
      </c>
      <c r="C1433" t="s">
        <v>3224</v>
      </c>
      <c r="D1433" t="s">
        <v>14</v>
      </c>
      <c r="E1433" t="s">
        <v>19</v>
      </c>
      <c r="F1433" t="s">
        <v>3225</v>
      </c>
      <c r="G1433" t="str">
        <f>"00485183"</f>
        <v>00485183</v>
      </c>
      <c r="H1433">
        <v>33.8</v>
      </c>
      <c r="I1433">
        <v>0</v>
      </c>
      <c r="M1433">
        <v>4</v>
      </c>
      <c r="N1433">
        <v>0</v>
      </c>
      <c r="O1433">
        <v>0</v>
      </c>
      <c r="P1433">
        <v>37.8</v>
      </c>
      <c r="Q1433">
        <v>11</v>
      </c>
      <c r="R1433">
        <v>11</v>
      </c>
      <c r="S1433">
        <v>6</v>
      </c>
      <c r="T1433">
        <v>0</v>
      </c>
      <c r="U1433" s="1">
        <v>0</v>
      </c>
      <c r="V1433">
        <v>54.8</v>
      </c>
    </row>
    <row r="1434" spans="1:22" ht="15">
      <c r="A1434" s="4">
        <v>1427</v>
      </c>
      <c r="B1434">
        <v>936</v>
      </c>
      <c r="C1434" t="s">
        <v>3226</v>
      </c>
      <c r="D1434" t="s">
        <v>3227</v>
      </c>
      <c r="E1434" t="s">
        <v>90</v>
      </c>
      <c r="F1434" t="s">
        <v>3228</v>
      </c>
      <c r="G1434" t="str">
        <f>"00504497"</f>
        <v>00504497</v>
      </c>
      <c r="H1434">
        <v>28.8</v>
      </c>
      <c r="I1434">
        <v>0</v>
      </c>
      <c r="M1434">
        <v>4</v>
      </c>
      <c r="N1434">
        <v>0</v>
      </c>
      <c r="O1434">
        <v>0</v>
      </c>
      <c r="P1434">
        <v>32.8</v>
      </c>
      <c r="Q1434">
        <v>22</v>
      </c>
      <c r="R1434">
        <v>22</v>
      </c>
      <c r="S1434">
        <v>0</v>
      </c>
      <c r="T1434">
        <v>0</v>
      </c>
      <c r="U1434" s="1">
        <v>0</v>
      </c>
      <c r="V1434">
        <v>54.8</v>
      </c>
    </row>
    <row r="1435" spans="1:22" ht="15">
      <c r="A1435" s="4">
        <v>1428</v>
      </c>
      <c r="B1435">
        <v>445</v>
      </c>
      <c r="C1435" t="s">
        <v>3229</v>
      </c>
      <c r="D1435" t="s">
        <v>102</v>
      </c>
      <c r="E1435" t="s">
        <v>23</v>
      </c>
      <c r="F1435" t="s">
        <v>3230</v>
      </c>
      <c r="G1435" t="str">
        <f>"00488553"</f>
        <v>00488553</v>
      </c>
      <c r="H1435">
        <v>28.8</v>
      </c>
      <c r="I1435">
        <v>10</v>
      </c>
      <c r="M1435">
        <v>0</v>
      </c>
      <c r="N1435">
        <v>0</v>
      </c>
      <c r="O1435">
        <v>0</v>
      </c>
      <c r="P1435">
        <v>38.8</v>
      </c>
      <c r="Q1435">
        <v>16</v>
      </c>
      <c r="R1435">
        <v>16</v>
      </c>
      <c r="S1435">
        <v>0</v>
      </c>
      <c r="T1435">
        <v>0</v>
      </c>
      <c r="U1435" s="1">
        <v>0</v>
      </c>
      <c r="V1435">
        <v>54.8</v>
      </c>
    </row>
    <row r="1436" spans="1:22" ht="15">
      <c r="A1436" s="4">
        <v>1429</v>
      </c>
      <c r="B1436">
        <v>233</v>
      </c>
      <c r="C1436" t="s">
        <v>213</v>
      </c>
      <c r="D1436" t="s">
        <v>130</v>
      </c>
      <c r="E1436" t="s">
        <v>51</v>
      </c>
      <c r="F1436" t="s">
        <v>3231</v>
      </c>
      <c r="G1436" t="str">
        <f>"00019007"</f>
        <v>00019007</v>
      </c>
      <c r="H1436">
        <v>34.68</v>
      </c>
      <c r="I1436">
        <v>10</v>
      </c>
      <c r="L1436">
        <v>4</v>
      </c>
      <c r="M1436">
        <v>4</v>
      </c>
      <c r="N1436">
        <v>4</v>
      </c>
      <c r="O1436">
        <v>0</v>
      </c>
      <c r="P1436">
        <v>52.68</v>
      </c>
      <c r="Q1436">
        <v>2</v>
      </c>
      <c r="R1436">
        <v>2</v>
      </c>
      <c r="S1436">
        <v>0</v>
      </c>
      <c r="T1436">
        <v>0</v>
      </c>
      <c r="U1436" s="1">
        <v>0</v>
      </c>
      <c r="V1436">
        <v>54.68</v>
      </c>
    </row>
    <row r="1437" spans="1:22" ht="15">
      <c r="A1437" s="4">
        <v>1430</v>
      </c>
      <c r="B1437">
        <v>462</v>
      </c>
      <c r="C1437" t="s">
        <v>3232</v>
      </c>
      <c r="D1437" t="s">
        <v>14</v>
      </c>
      <c r="E1437" t="s">
        <v>2852</v>
      </c>
      <c r="F1437" t="s">
        <v>3233</v>
      </c>
      <c r="G1437" t="str">
        <f>"200801004635"</f>
        <v>200801004635</v>
      </c>
      <c r="H1437">
        <v>21.6</v>
      </c>
      <c r="I1437">
        <v>10</v>
      </c>
      <c r="J1437">
        <v>8</v>
      </c>
      <c r="M1437">
        <v>4</v>
      </c>
      <c r="N1437">
        <v>8</v>
      </c>
      <c r="O1437">
        <v>0</v>
      </c>
      <c r="P1437">
        <v>43.6</v>
      </c>
      <c r="Q1437">
        <v>8</v>
      </c>
      <c r="R1437">
        <v>8</v>
      </c>
      <c r="S1437">
        <v>3</v>
      </c>
      <c r="T1437">
        <v>0</v>
      </c>
      <c r="U1437" s="1">
        <v>0</v>
      </c>
      <c r="V1437">
        <v>54.6</v>
      </c>
    </row>
    <row r="1438" spans="1:22" ht="15">
      <c r="A1438" s="4">
        <v>1431</v>
      </c>
      <c r="B1438">
        <v>3375</v>
      </c>
      <c r="C1438" t="s">
        <v>3234</v>
      </c>
      <c r="D1438" t="s">
        <v>14</v>
      </c>
      <c r="E1438" t="s">
        <v>15</v>
      </c>
      <c r="F1438" t="s">
        <v>3235</v>
      </c>
      <c r="G1438" t="str">
        <f>"00534236"</f>
        <v>00534236</v>
      </c>
      <c r="H1438">
        <v>21.6</v>
      </c>
      <c r="I1438">
        <v>0</v>
      </c>
      <c r="L1438">
        <v>4</v>
      </c>
      <c r="M1438">
        <v>4</v>
      </c>
      <c r="N1438">
        <v>4</v>
      </c>
      <c r="O1438">
        <v>0</v>
      </c>
      <c r="P1438">
        <v>29.6</v>
      </c>
      <c r="Q1438">
        <v>25</v>
      </c>
      <c r="R1438">
        <v>25</v>
      </c>
      <c r="S1438">
        <v>0</v>
      </c>
      <c r="T1438">
        <v>0</v>
      </c>
      <c r="U1438" s="1">
        <v>0</v>
      </c>
      <c r="V1438">
        <v>54.6</v>
      </c>
    </row>
    <row r="1439" spans="1:22" ht="15">
      <c r="A1439" s="4">
        <v>1432</v>
      </c>
      <c r="B1439">
        <v>1017</v>
      </c>
      <c r="C1439" t="s">
        <v>3236</v>
      </c>
      <c r="D1439" t="s">
        <v>40</v>
      </c>
      <c r="E1439" t="s">
        <v>19</v>
      </c>
      <c r="F1439" t="s">
        <v>3237</v>
      </c>
      <c r="G1439" t="str">
        <f>"00500296"</f>
        <v>00500296</v>
      </c>
      <c r="H1439">
        <v>21.6</v>
      </c>
      <c r="I1439">
        <v>0</v>
      </c>
      <c r="M1439">
        <v>4</v>
      </c>
      <c r="N1439">
        <v>0</v>
      </c>
      <c r="O1439">
        <v>0</v>
      </c>
      <c r="P1439">
        <v>25.6</v>
      </c>
      <c r="Q1439">
        <v>29</v>
      </c>
      <c r="R1439">
        <v>29</v>
      </c>
      <c r="S1439">
        <v>0</v>
      </c>
      <c r="T1439">
        <v>0</v>
      </c>
      <c r="U1439" s="1">
        <v>0</v>
      </c>
      <c r="V1439">
        <v>54.6</v>
      </c>
    </row>
    <row r="1440" spans="1:22" ht="15">
      <c r="A1440" s="4">
        <v>1433</v>
      </c>
      <c r="B1440">
        <v>330</v>
      </c>
      <c r="C1440" t="s">
        <v>3238</v>
      </c>
      <c r="D1440" t="s">
        <v>3239</v>
      </c>
      <c r="E1440" t="s">
        <v>55</v>
      </c>
      <c r="F1440" t="s">
        <v>3240</v>
      </c>
      <c r="G1440" t="str">
        <f>"00508731"</f>
        <v>00508731</v>
      </c>
      <c r="H1440">
        <v>36.52</v>
      </c>
      <c r="I1440">
        <v>0</v>
      </c>
      <c r="M1440">
        <v>4</v>
      </c>
      <c r="N1440">
        <v>0</v>
      </c>
      <c r="O1440">
        <v>0</v>
      </c>
      <c r="P1440">
        <v>40.52</v>
      </c>
      <c r="Q1440">
        <v>8</v>
      </c>
      <c r="R1440">
        <v>8</v>
      </c>
      <c r="S1440">
        <v>6</v>
      </c>
      <c r="T1440">
        <v>0</v>
      </c>
      <c r="U1440" s="1">
        <v>0</v>
      </c>
      <c r="V1440">
        <v>54.52</v>
      </c>
    </row>
    <row r="1441" spans="1:22" ht="15">
      <c r="A1441" s="4">
        <v>1434</v>
      </c>
      <c r="B1441">
        <v>3390</v>
      </c>
      <c r="C1441" t="s">
        <v>3241</v>
      </c>
      <c r="D1441" t="s">
        <v>76</v>
      </c>
      <c r="E1441" t="s">
        <v>112</v>
      </c>
      <c r="F1441" t="s">
        <v>3242</v>
      </c>
      <c r="G1441" t="str">
        <f>"00456212"</f>
        <v>00456212</v>
      </c>
      <c r="H1441">
        <v>50.4</v>
      </c>
      <c r="I1441">
        <v>0</v>
      </c>
      <c r="M1441">
        <v>4</v>
      </c>
      <c r="N1441">
        <v>0</v>
      </c>
      <c r="O1441">
        <v>0</v>
      </c>
      <c r="P1441">
        <v>54.4</v>
      </c>
      <c r="Q1441">
        <v>0</v>
      </c>
      <c r="R1441">
        <v>0</v>
      </c>
      <c r="S1441">
        <v>0</v>
      </c>
      <c r="T1441">
        <v>0</v>
      </c>
      <c r="U1441" s="1">
        <v>0</v>
      </c>
      <c r="V1441">
        <v>54.4</v>
      </c>
    </row>
    <row r="1442" spans="1:22" ht="15">
      <c r="A1442" s="4">
        <v>1435</v>
      </c>
      <c r="B1442">
        <v>1527</v>
      </c>
      <c r="C1442" t="s">
        <v>1652</v>
      </c>
      <c r="D1442" t="s">
        <v>89</v>
      </c>
      <c r="E1442" t="s">
        <v>73</v>
      </c>
      <c r="F1442" t="s">
        <v>3243</v>
      </c>
      <c r="G1442" t="str">
        <f>"00518118"</f>
        <v>00518118</v>
      </c>
      <c r="H1442">
        <v>14.4</v>
      </c>
      <c r="I1442">
        <v>10</v>
      </c>
      <c r="M1442">
        <v>4</v>
      </c>
      <c r="N1442">
        <v>0</v>
      </c>
      <c r="O1442">
        <v>0</v>
      </c>
      <c r="P1442">
        <v>28.4</v>
      </c>
      <c r="Q1442">
        <v>26</v>
      </c>
      <c r="R1442">
        <v>26</v>
      </c>
      <c r="S1442">
        <v>0</v>
      </c>
      <c r="T1442">
        <v>0</v>
      </c>
      <c r="U1442" s="1">
        <v>0</v>
      </c>
      <c r="V1442">
        <v>54.4</v>
      </c>
    </row>
    <row r="1443" spans="1:22" ht="15">
      <c r="A1443" s="4">
        <v>1436</v>
      </c>
      <c r="B1443">
        <v>1158</v>
      </c>
      <c r="C1443" t="s">
        <v>3244</v>
      </c>
      <c r="D1443" t="s">
        <v>89</v>
      </c>
      <c r="E1443" t="s">
        <v>11</v>
      </c>
      <c r="F1443" t="s">
        <v>3245</v>
      </c>
      <c r="G1443" t="str">
        <f>"00527089"</f>
        <v>00527089</v>
      </c>
      <c r="H1443">
        <v>50.4</v>
      </c>
      <c r="I1443">
        <v>0</v>
      </c>
      <c r="L1443">
        <v>4</v>
      </c>
      <c r="M1443">
        <v>0</v>
      </c>
      <c r="N1443">
        <v>4</v>
      </c>
      <c r="O1443">
        <v>0</v>
      </c>
      <c r="P1443">
        <v>54.4</v>
      </c>
      <c r="Q1443">
        <v>0</v>
      </c>
      <c r="R1443">
        <v>0</v>
      </c>
      <c r="S1443">
        <v>0</v>
      </c>
      <c r="T1443">
        <v>0</v>
      </c>
      <c r="U1443" s="1">
        <v>0</v>
      </c>
      <c r="V1443">
        <v>54.4</v>
      </c>
    </row>
    <row r="1444" spans="1:22" ht="15">
      <c r="A1444" s="4">
        <v>1437</v>
      </c>
      <c r="B1444">
        <v>3448</v>
      </c>
      <c r="C1444" t="s">
        <v>3246</v>
      </c>
      <c r="D1444" t="s">
        <v>219</v>
      </c>
      <c r="E1444" t="s">
        <v>190</v>
      </c>
      <c r="F1444" t="s">
        <v>3247</v>
      </c>
      <c r="G1444" t="str">
        <f>"00533013"</f>
        <v>00533013</v>
      </c>
      <c r="H1444">
        <v>50.4</v>
      </c>
      <c r="I1444">
        <v>0</v>
      </c>
      <c r="L1444">
        <v>4</v>
      </c>
      <c r="M1444">
        <v>0</v>
      </c>
      <c r="N1444">
        <v>4</v>
      </c>
      <c r="O1444">
        <v>0</v>
      </c>
      <c r="P1444">
        <v>54.4</v>
      </c>
      <c r="Q1444">
        <v>0</v>
      </c>
      <c r="R1444">
        <v>0</v>
      </c>
      <c r="S1444">
        <v>0</v>
      </c>
      <c r="T1444">
        <v>0</v>
      </c>
      <c r="U1444" s="1">
        <v>0</v>
      </c>
      <c r="V1444">
        <v>54.4</v>
      </c>
    </row>
    <row r="1445" spans="1:22" ht="15">
      <c r="A1445" s="4">
        <v>1438</v>
      </c>
      <c r="B1445">
        <v>609</v>
      </c>
      <c r="C1445" t="s">
        <v>3248</v>
      </c>
      <c r="D1445" t="s">
        <v>76</v>
      </c>
      <c r="E1445" t="s">
        <v>19</v>
      </c>
      <c r="F1445" t="s">
        <v>3249</v>
      </c>
      <c r="G1445" t="str">
        <f>"00510629"</f>
        <v>00510629</v>
      </c>
      <c r="H1445">
        <v>50.4</v>
      </c>
      <c r="I1445">
        <v>0</v>
      </c>
      <c r="M1445">
        <v>4</v>
      </c>
      <c r="N1445">
        <v>0</v>
      </c>
      <c r="O1445">
        <v>0</v>
      </c>
      <c r="P1445">
        <v>54.4</v>
      </c>
      <c r="Q1445">
        <v>0</v>
      </c>
      <c r="R1445">
        <v>0</v>
      </c>
      <c r="S1445">
        <v>0</v>
      </c>
      <c r="T1445">
        <v>0</v>
      </c>
      <c r="U1445" s="1">
        <v>0</v>
      </c>
      <c r="V1445">
        <v>54.4</v>
      </c>
    </row>
    <row r="1446" spans="1:22" ht="15">
      <c r="A1446" s="4">
        <v>1439</v>
      </c>
      <c r="B1446">
        <v>3317</v>
      </c>
      <c r="C1446" t="s">
        <v>2504</v>
      </c>
      <c r="D1446" t="s">
        <v>179</v>
      </c>
      <c r="E1446" t="s">
        <v>1343</v>
      </c>
      <c r="F1446" t="s">
        <v>3250</v>
      </c>
      <c r="G1446" t="str">
        <f>"00532411"</f>
        <v>00532411</v>
      </c>
      <c r="H1446">
        <v>50.4</v>
      </c>
      <c r="I1446">
        <v>0</v>
      </c>
      <c r="M1446">
        <v>4</v>
      </c>
      <c r="N1446">
        <v>0</v>
      </c>
      <c r="O1446">
        <v>0</v>
      </c>
      <c r="P1446">
        <v>54.4</v>
      </c>
      <c r="Q1446">
        <v>0</v>
      </c>
      <c r="R1446">
        <v>0</v>
      </c>
      <c r="S1446">
        <v>0</v>
      </c>
      <c r="T1446">
        <v>0</v>
      </c>
      <c r="U1446" s="1">
        <v>0</v>
      </c>
      <c r="V1446">
        <v>54.4</v>
      </c>
    </row>
    <row r="1447" spans="1:22" ht="15">
      <c r="A1447" s="4">
        <v>1440</v>
      </c>
      <c r="B1447">
        <v>3426</v>
      </c>
      <c r="C1447" t="s">
        <v>3251</v>
      </c>
      <c r="D1447" t="s">
        <v>40</v>
      </c>
      <c r="E1447" t="s">
        <v>11</v>
      </c>
      <c r="F1447" t="s">
        <v>3252</v>
      </c>
      <c r="G1447" t="str">
        <f>"00532894"</f>
        <v>00532894</v>
      </c>
      <c r="H1447">
        <v>50.4</v>
      </c>
      <c r="I1447">
        <v>0</v>
      </c>
      <c r="M1447">
        <v>4</v>
      </c>
      <c r="N1447">
        <v>0</v>
      </c>
      <c r="O1447">
        <v>0</v>
      </c>
      <c r="P1447">
        <v>54.4</v>
      </c>
      <c r="Q1447">
        <v>0</v>
      </c>
      <c r="R1447">
        <v>0</v>
      </c>
      <c r="S1447">
        <v>0</v>
      </c>
      <c r="T1447">
        <v>0</v>
      </c>
      <c r="U1447" s="1">
        <v>0</v>
      </c>
      <c r="V1447">
        <v>54.4</v>
      </c>
    </row>
    <row r="1448" spans="1:22" ht="15">
      <c r="A1448" s="4">
        <v>1441</v>
      </c>
      <c r="B1448">
        <v>1830</v>
      </c>
      <c r="C1448" t="s">
        <v>3253</v>
      </c>
      <c r="D1448" t="s">
        <v>14</v>
      </c>
      <c r="E1448" t="s">
        <v>403</v>
      </c>
      <c r="F1448" t="s">
        <v>3254</v>
      </c>
      <c r="G1448" t="str">
        <f>"00492162"</f>
        <v>00492162</v>
      </c>
      <c r="H1448">
        <v>38.4</v>
      </c>
      <c r="I1448">
        <v>0</v>
      </c>
      <c r="L1448">
        <v>4</v>
      </c>
      <c r="M1448">
        <v>4</v>
      </c>
      <c r="N1448">
        <v>4</v>
      </c>
      <c r="O1448">
        <v>0</v>
      </c>
      <c r="P1448">
        <v>46.4</v>
      </c>
      <c r="Q1448">
        <v>8</v>
      </c>
      <c r="R1448">
        <v>8</v>
      </c>
      <c r="S1448">
        <v>0</v>
      </c>
      <c r="T1448">
        <v>0</v>
      </c>
      <c r="U1448" s="1">
        <v>0</v>
      </c>
      <c r="V1448">
        <v>54.4</v>
      </c>
    </row>
    <row r="1449" spans="1:22" ht="15">
      <c r="A1449" s="4">
        <v>1442</v>
      </c>
      <c r="B1449">
        <v>2472</v>
      </c>
      <c r="C1449" t="s">
        <v>3255</v>
      </c>
      <c r="D1449" t="s">
        <v>367</v>
      </c>
      <c r="E1449" t="s">
        <v>90</v>
      </c>
      <c r="F1449" t="s">
        <v>3256</v>
      </c>
      <c r="G1449" t="str">
        <f>"00532839"</f>
        <v>00532839</v>
      </c>
      <c r="H1449">
        <v>50.4</v>
      </c>
      <c r="I1449">
        <v>0</v>
      </c>
      <c r="M1449">
        <v>4</v>
      </c>
      <c r="N1449">
        <v>0</v>
      </c>
      <c r="O1449">
        <v>0</v>
      </c>
      <c r="P1449">
        <v>54.4</v>
      </c>
      <c r="Q1449">
        <v>0</v>
      </c>
      <c r="R1449">
        <v>0</v>
      </c>
      <c r="S1449">
        <v>0</v>
      </c>
      <c r="T1449">
        <v>0</v>
      </c>
      <c r="U1449" s="1">
        <v>0</v>
      </c>
      <c r="V1449">
        <v>54.4</v>
      </c>
    </row>
    <row r="1450" spans="1:22" ht="15">
      <c r="A1450" s="4">
        <v>1443</v>
      </c>
      <c r="B1450">
        <v>1722</v>
      </c>
      <c r="C1450" t="s">
        <v>3257</v>
      </c>
      <c r="D1450" t="s">
        <v>40</v>
      </c>
      <c r="E1450" t="s">
        <v>3258</v>
      </c>
      <c r="F1450" t="s">
        <v>3259</v>
      </c>
      <c r="G1450" t="str">
        <f>"00070329"</f>
        <v>00070329</v>
      </c>
      <c r="H1450">
        <v>30.4</v>
      </c>
      <c r="I1450">
        <v>10</v>
      </c>
      <c r="L1450">
        <v>4</v>
      </c>
      <c r="M1450">
        <v>4</v>
      </c>
      <c r="N1450">
        <v>4</v>
      </c>
      <c r="O1450">
        <v>0</v>
      </c>
      <c r="P1450">
        <v>48.4</v>
      </c>
      <c r="Q1450">
        <v>0</v>
      </c>
      <c r="R1450">
        <v>0</v>
      </c>
      <c r="S1450">
        <v>6</v>
      </c>
      <c r="T1450">
        <v>0</v>
      </c>
      <c r="U1450" s="1">
        <v>0</v>
      </c>
      <c r="V1450">
        <v>54.4</v>
      </c>
    </row>
    <row r="1451" spans="1:22" ht="15">
      <c r="A1451" s="4">
        <v>1444</v>
      </c>
      <c r="B1451">
        <v>260</v>
      </c>
      <c r="C1451" t="s">
        <v>3260</v>
      </c>
      <c r="D1451" t="s">
        <v>193</v>
      </c>
      <c r="E1451" t="s">
        <v>73</v>
      </c>
      <c r="F1451" t="s">
        <v>3261</v>
      </c>
      <c r="G1451" t="str">
        <f>"00488555"</f>
        <v>00488555</v>
      </c>
      <c r="H1451">
        <v>50.4</v>
      </c>
      <c r="I1451">
        <v>0</v>
      </c>
      <c r="L1451">
        <v>4</v>
      </c>
      <c r="M1451">
        <v>0</v>
      </c>
      <c r="N1451">
        <v>4</v>
      </c>
      <c r="O1451">
        <v>0</v>
      </c>
      <c r="P1451">
        <v>54.4</v>
      </c>
      <c r="Q1451">
        <v>0</v>
      </c>
      <c r="R1451">
        <v>0</v>
      </c>
      <c r="S1451">
        <v>0</v>
      </c>
      <c r="T1451">
        <v>0</v>
      </c>
      <c r="U1451" s="1" t="s">
        <v>6251</v>
      </c>
      <c r="V1451">
        <v>54.4</v>
      </c>
    </row>
    <row r="1452" spans="1:22" ht="15">
      <c r="A1452" s="4">
        <v>1445</v>
      </c>
      <c r="B1452">
        <v>1918</v>
      </c>
      <c r="C1452" t="s">
        <v>3262</v>
      </c>
      <c r="D1452" t="s">
        <v>130</v>
      </c>
      <c r="E1452" t="s">
        <v>583</v>
      </c>
      <c r="F1452" t="s">
        <v>3263</v>
      </c>
      <c r="G1452" t="str">
        <f>"00023673"</f>
        <v>00023673</v>
      </c>
      <c r="H1452">
        <v>38.28</v>
      </c>
      <c r="I1452">
        <v>0</v>
      </c>
      <c r="K1452">
        <v>6</v>
      </c>
      <c r="M1452">
        <v>4</v>
      </c>
      <c r="N1452">
        <v>6</v>
      </c>
      <c r="O1452">
        <v>0</v>
      </c>
      <c r="P1452">
        <v>48.28</v>
      </c>
      <c r="Q1452">
        <v>0</v>
      </c>
      <c r="R1452">
        <v>0</v>
      </c>
      <c r="S1452">
        <v>6</v>
      </c>
      <c r="T1452">
        <v>0</v>
      </c>
      <c r="U1452" s="1">
        <v>0</v>
      </c>
      <c r="V1452">
        <v>54.28</v>
      </c>
    </row>
    <row r="1453" spans="1:22" ht="15">
      <c r="A1453" s="4">
        <v>1446</v>
      </c>
      <c r="B1453">
        <v>2886</v>
      </c>
      <c r="C1453" t="s">
        <v>3264</v>
      </c>
      <c r="D1453" t="s">
        <v>2203</v>
      </c>
      <c r="E1453" t="s">
        <v>327</v>
      </c>
      <c r="F1453" t="s">
        <v>3265</v>
      </c>
      <c r="G1453" t="str">
        <f>"201511005442"</f>
        <v>201511005442</v>
      </c>
      <c r="H1453">
        <v>26.2</v>
      </c>
      <c r="I1453">
        <v>0</v>
      </c>
      <c r="L1453">
        <v>4</v>
      </c>
      <c r="M1453">
        <v>4</v>
      </c>
      <c r="N1453">
        <v>4</v>
      </c>
      <c r="O1453">
        <v>0</v>
      </c>
      <c r="P1453">
        <v>34.2</v>
      </c>
      <c r="Q1453">
        <v>20</v>
      </c>
      <c r="R1453">
        <v>20</v>
      </c>
      <c r="S1453">
        <v>0</v>
      </c>
      <c r="T1453">
        <v>0</v>
      </c>
      <c r="U1453" s="1">
        <v>0</v>
      </c>
      <c r="V1453">
        <v>54.2</v>
      </c>
    </row>
    <row r="1454" spans="1:22" ht="15">
      <c r="A1454" s="4">
        <v>1447</v>
      </c>
      <c r="B1454">
        <v>2733</v>
      </c>
      <c r="C1454" t="s">
        <v>370</v>
      </c>
      <c r="D1454" t="s">
        <v>3266</v>
      </c>
      <c r="E1454" t="s">
        <v>23</v>
      </c>
      <c r="F1454" t="s">
        <v>3267</v>
      </c>
      <c r="G1454" t="str">
        <f>"00532667"</f>
        <v>00532667</v>
      </c>
      <c r="H1454">
        <v>43.2</v>
      </c>
      <c r="I1454">
        <v>0</v>
      </c>
      <c r="L1454">
        <v>4</v>
      </c>
      <c r="M1454">
        <v>0</v>
      </c>
      <c r="N1454">
        <v>4</v>
      </c>
      <c r="O1454">
        <v>0</v>
      </c>
      <c r="P1454">
        <v>47.2</v>
      </c>
      <c r="Q1454">
        <v>7</v>
      </c>
      <c r="R1454">
        <v>7</v>
      </c>
      <c r="S1454">
        <v>0</v>
      </c>
      <c r="T1454">
        <v>0</v>
      </c>
      <c r="U1454" s="1">
        <v>0</v>
      </c>
      <c r="V1454">
        <v>54.2</v>
      </c>
    </row>
    <row r="1455" spans="1:22" ht="15">
      <c r="A1455" s="4">
        <v>1448</v>
      </c>
      <c r="B1455">
        <v>1837</v>
      </c>
      <c r="C1455" t="s">
        <v>3268</v>
      </c>
      <c r="D1455" t="s">
        <v>1617</v>
      </c>
      <c r="E1455" t="s">
        <v>90</v>
      </c>
      <c r="F1455" t="s">
        <v>3269</v>
      </c>
      <c r="G1455" t="str">
        <f>"201604001843"</f>
        <v>201604001843</v>
      </c>
      <c r="H1455">
        <v>43.2</v>
      </c>
      <c r="I1455">
        <v>0</v>
      </c>
      <c r="M1455">
        <v>4</v>
      </c>
      <c r="N1455">
        <v>0</v>
      </c>
      <c r="O1455">
        <v>0</v>
      </c>
      <c r="P1455">
        <v>47.2</v>
      </c>
      <c r="Q1455">
        <v>7</v>
      </c>
      <c r="R1455">
        <v>7</v>
      </c>
      <c r="S1455">
        <v>0</v>
      </c>
      <c r="T1455">
        <v>0</v>
      </c>
      <c r="U1455" s="1">
        <v>0</v>
      </c>
      <c r="V1455">
        <v>54.2</v>
      </c>
    </row>
    <row r="1456" spans="1:22" ht="15">
      <c r="A1456" s="4">
        <v>1449</v>
      </c>
      <c r="B1456">
        <v>559</v>
      </c>
      <c r="C1456" t="s">
        <v>2263</v>
      </c>
      <c r="D1456" t="s">
        <v>189</v>
      </c>
      <c r="E1456" t="s">
        <v>41</v>
      </c>
      <c r="F1456" t="s">
        <v>3270</v>
      </c>
      <c r="G1456" t="str">
        <f>"00522490"</f>
        <v>00522490</v>
      </c>
      <c r="H1456">
        <v>43.2</v>
      </c>
      <c r="I1456">
        <v>0</v>
      </c>
      <c r="M1456">
        <v>4</v>
      </c>
      <c r="N1456">
        <v>0</v>
      </c>
      <c r="O1456">
        <v>0</v>
      </c>
      <c r="P1456">
        <v>47.2</v>
      </c>
      <c r="Q1456">
        <v>7</v>
      </c>
      <c r="R1456">
        <v>7</v>
      </c>
      <c r="S1456">
        <v>0</v>
      </c>
      <c r="T1456">
        <v>0</v>
      </c>
      <c r="U1456" s="1">
        <v>0</v>
      </c>
      <c r="V1456">
        <v>54.2</v>
      </c>
    </row>
    <row r="1457" spans="1:22" ht="15">
      <c r="A1457" s="4">
        <v>1450</v>
      </c>
      <c r="B1457">
        <v>3051</v>
      </c>
      <c r="C1457" t="s">
        <v>3271</v>
      </c>
      <c r="D1457" t="s">
        <v>179</v>
      </c>
      <c r="E1457" t="s">
        <v>3272</v>
      </c>
      <c r="F1457" t="s">
        <v>3273</v>
      </c>
      <c r="G1457" t="str">
        <f>"00523829"</f>
        <v>00523829</v>
      </c>
      <c r="H1457">
        <v>43.2</v>
      </c>
      <c r="I1457">
        <v>0</v>
      </c>
      <c r="M1457">
        <v>4</v>
      </c>
      <c r="N1457">
        <v>0</v>
      </c>
      <c r="O1457">
        <v>0</v>
      </c>
      <c r="P1457">
        <v>47.2</v>
      </c>
      <c r="Q1457">
        <v>7</v>
      </c>
      <c r="R1457">
        <v>7</v>
      </c>
      <c r="S1457">
        <v>0</v>
      </c>
      <c r="T1457">
        <v>0</v>
      </c>
      <c r="U1457" s="1">
        <v>0</v>
      </c>
      <c r="V1457">
        <v>54.2</v>
      </c>
    </row>
    <row r="1458" spans="1:22" ht="15">
      <c r="A1458" s="4">
        <v>1451</v>
      </c>
      <c r="B1458">
        <v>1406</v>
      </c>
      <c r="C1458" t="s">
        <v>3274</v>
      </c>
      <c r="D1458" t="s">
        <v>3275</v>
      </c>
      <c r="E1458" t="s">
        <v>225</v>
      </c>
      <c r="F1458" t="s">
        <v>3276</v>
      </c>
      <c r="G1458" t="str">
        <f>"00036610"</f>
        <v>00036610</v>
      </c>
      <c r="H1458">
        <v>43.2</v>
      </c>
      <c r="I1458">
        <v>0</v>
      </c>
      <c r="L1458">
        <v>4</v>
      </c>
      <c r="M1458">
        <v>4</v>
      </c>
      <c r="N1458">
        <v>4</v>
      </c>
      <c r="O1458">
        <v>0</v>
      </c>
      <c r="P1458">
        <v>51.2</v>
      </c>
      <c r="Q1458">
        <v>3</v>
      </c>
      <c r="R1458">
        <v>3</v>
      </c>
      <c r="S1458">
        <v>0</v>
      </c>
      <c r="T1458">
        <v>0</v>
      </c>
      <c r="U1458" s="1">
        <v>0</v>
      </c>
      <c r="V1458">
        <v>54.2</v>
      </c>
    </row>
    <row r="1459" spans="1:22" ht="15">
      <c r="A1459" s="4">
        <v>1452</v>
      </c>
      <c r="B1459">
        <v>292</v>
      </c>
      <c r="C1459" t="s">
        <v>3277</v>
      </c>
      <c r="D1459" t="s">
        <v>280</v>
      </c>
      <c r="E1459" t="s">
        <v>344</v>
      </c>
      <c r="F1459" t="s">
        <v>3278</v>
      </c>
      <c r="G1459" t="str">
        <f>"00497929"</f>
        <v>00497929</v>
      </c>
      <c r="H1459">
        <v>7.2</v>
      </c>
      <c r="I1459">
        <v>0</v>
      </c>
      <c r="M1459">
        <v>4</v>
      </c>
      <c r="N1459">
        <v>0</v>
      </c>
      <c r="O1459">
        <v>0</v>
      </c>
      <c r="P1459">
        <v>11.2</v>
      </c>
      <c r="Q1459">
        <v>40</v>
      </c>
      <c r="R1459">
        <v>40</v>
      </c>
      <c r="S1459">
        <v>3</v>
      </c>
      <c r="T1459">
        <v>0</v>
      </c>
      <c r="U1459" s="1">
        <v>0</v>
      </c>
      <c r="V1459">
        <v>54.2</v>
      </c>
    </row>
    <row r="1460" spans="1:22" ht="15">
      <c r="A1460" s="4">
        <v>1453</v>
      </c>
      <c r="B1460">
        <v>504</v>
      </c>
      <c r="C1460" t="s">
        <v>3279</v>
      </c>
      <c r="D1460" t="s">
        <v>189</v>
      </c>
      <c r="E1460" t="s">
        <v>59</v>
      </c>
      <c r="F1460" t="s">
        <v>3280</v>
      </c>
      <c r="G1460" t="str">
        <f>"00508170"</f>
        <v>00508170</v>
      </c>
      <c r="H1460">
        <v>43.2</v>
      </c>
      <c r="I1460">
        <v>0</v>
      </c>
      <c r="L1460">
        <v>4</v>
      </c>
      <c r="M1460">
        <v>4</v>
      </c>
      <c r="N1460">
        <v>4</v>
      </c>
      <c r="O1460">
        <v>2</v>
      </c>
      <c r="P1460">
        <v>53.2</v>
      </c>
      <c r="Q1460">
        <v>1</v>
      </c>
      <c r="R1460">
        <v>1</v>
      </c>
      <c r="S1460">
        <v>0</v>
      </c>
      <c r="T1460">
        <v>0</v>
      </c>
      <c r="U1460" s="1">
        <v>0</v>
      </c>
      <c r="V1460">
        <v>54.2</v>
      </c>
    </row>
    <row r="1461" spans="1:22" ht="15">
      <c r="A1461" s="4">
        <v>1454</v>
      </c>
      <c r="B1461">
        <v>3168</v>
      </c>
      <c r="C1461" t="s">
        <v>57</v>
      </c>
      <c r="D1461" t="s">
        <v>179</v>
      </c>
      <c r="E1461" t="s">
        <v>11</v>
      </c>
      <c r="F1461" t="s">
        <v>3281</v>
      </c>
      <c r="G1461" t="str">
        <f>"201511019917"</f>
        <v>201511019917</v>
      </c>
      <c r="H1461">
        <v>43.2</v>
      </c>
      <c r="I1461">
        <v>0</v>
      </c>
      <c r="L1461">
        <v>4</v>
      </c>
      <c r="M1461">
        <v>4</v>
      </c>
      <c r="N1461">
        <v>4</v>
      </c>
      <c r="O1461">
        <v>0</v>
      </c>
      <c r="P1461">
        <v>51.2</v>
      </c>
      <c r="Q1461">
        <v>0</v>
      </c>
      <c r="R1461">
        <v>0</v>
      </c>
      <c r="S1461">
        <v>3</v>
      </c>
      <c r="T1461">
        <v>0</v>
      </c>
      <c r="U1461" s="1">
        <v>0</v>
      </c>
      <c r="V1461">
        <v>54.2</v>
      </c>
    </row>
    <row r="1462" spans="1:22" ht="15">
      <c r="A1462" s="4">
        <v>1455</v>
      </c>
      <c r="B1462">
        <v>2913</v>
      </c>
      <c r="C1462" t="s">
        <v>3282</v>
      </c>
      <c r="D1462" t="s">
        <v>193</v>
      </c>
      <c r="E1462" t="s">
        <v>19</v>
      </c>
      <c r="F1462" t="s">
        <v>3283</v>
      </c>
      <c r="G1462" t="str">
        <f>"00514941"</f>
        <v>00514941</v>
      </c>
      <c r="H1462">
        <v>34.16</v>
      </c>
      <c r="I1462">
        <v>0</v>
      </c>
      <c r="L1462">
        <v>4</v>
      </c>
      <c r="M1462">
        <v>0</v>
      </c>
      <c r="N1462">
        <v>4</v>
      </c>
      <c r="O1462">
        <v>0</v>
      </c>
      <c r="P1462">
        <v>38.16</v>
      </c>
      <c r="Q1462">
        <v>16</v>
      </c>
      <c r="R1462">
        <v>16</v>
      </c>
      <c r="S1462">
        <v>0</v>
      </c>
      <c r="T1462">
        <v>0</v>
      </c>
      <c r="U1462" s="1">
        <v>0</v>
      </c>
      <c r="V1462">
        <v>54.16</v>
      </c>
    </row>
    <row r="1463" spans="1:22" ht="15">
      <c r="A1463" s="4">
        <v>1456</v>
      </c>
      <c r="B1463">
        <v>2729</v>
      </c>
      <c r="C1463" t="s">
        <v>3284</v>
      </c>
      <c r="D1463" t="s">
        <v>1697</v>
      </c>
      <c r="E1463" t="s">
        <v>11</v>
      </c>
      <c r="F1463" t="s">
        <v>3285</v>
      </c>
      <c r="G1463" t="str">
        <f>"201405000783"</f>
        <v>201405000783</v>
      </c>
      <c r="H1463">
        <v>37.08</v>
      </c>
      <c r="I1463">
        <v>0</v>
      </c>
      <c r="M1463">
        <v>4</v>
      </c>
      <c r="N1463">
        <v>0</v>
      </c>
      <c r="O1463">
        <v>0</v>
      </c>
      <c r="P1463">
        <v>41.08</v>
      </c>
      <c r="Q1463">
        <v>7</v>
      </c>
      <c r="R1463">
        <v>7</v>
      </c>
      <c r="S1463">
        <v>6</v>
      </c>
      <c r="T1463">
        <v>0</v>
      </c>
      <c r="U1463" s="1">
        <v>0</v>
      </c>
      <c r="V1463">
        <v>54.08</v>
      </c>
    </row>
    <row r="1464" spans="1:22" ht="15">
      <c r="A1464" s="4">
        <v>1457</v>
      </c>
      <c r="B1464">
        <v>3043</v>
      </c>
      <c r="C1464" t="s">
        <v>3286</v>
      </c>
      <c r="D1464" t="s">
        <v>89</v>
      </c>
      <c r="E1464" t="s">
        <v>344</v>
      </c>
      <c r="F1464" t="s">
        <v>3287</v>
      </c>
      <c r="G1464" t="str">
        <f>"00156888"</f>
        <v>00156888</v>
      </c>
      <c r="H1464">
        <v>40</v>
      </c>
      <c r="I1464">
        <v>10</v>
      </c>
      <c r="M1464">
        <v>4</v>
      </c>
      <c r="N1464">
        <v>0</v>
      </c>
      <c r="O1464">
        <v>0</v>
      </c>
      <c r="P1464">
        <v>54</v>
      </c>
      <c r="Q1464">
        <v>0</v>
      </c>
      <c r="R1464">
        <v>0</v>
      </c>
      <c r="S1464">
        <v>0</v>
      </c>
      <c r="T1464">
        <v>0</v>
      </c>
      <c r="U1464" s="1">
        <v>0</v>
      </c>
      <c r="V1464">
        <v>54</v>
      </c>
    </row>
    <row r="1465" spans="1:22" ht="15">
      <c r="A1465" s="4">
        <v>1458</v>
      </c>
      <c r="B1465">
        <v>2984</v>
      </c>
      <c r="C1465" t="s">
        <v>3288</v>
      </c>
      <c r="D1465" t="s">
        <v>643</v>
      </c>
      <c r="E1465" t="s">
        <v>90</v>
      </c>
      <c r="F1465" t="s">
        <v>3289</v>
      </c>
      <c r="G1465" t="str">
        <f>"200802011399"</f>
        <v>200802011399</v>
      </c>
      <c r="H1465">
        <v>40</v>
      </c>
      <c r="I1465">
        <v>0</v>
      </c>
      <c r="L1465">
        <v>4</v>
      </c>
      <c r="M1465">
        <v>4</v>
      </c>
      <c r="N1465">
        <v>4</v>
      </c>
      <c r="O1465">
        <v>0</v>
      </c>
      <c r="P1465">
        <v>48</v>
      </c>
      <c r="Q1465">
        <v>0</v>
      </c>
      <c r="R1465">
        <v>0</v>
      </c>
      <c r="S1465">
        <v>6</v>
      </c>
      <c r="T1465">
        <v>0</v>
      </c>
      <c r="U1465" s="1">
        <v>0</v>
      </c>
      <c r="V1465">
        <v>54</v>
      </c>
    </row>
    <row r="1466" spans="1:22" ht="15">
      <c r="A1466" s="4">
        <v>1459</v>
      </c>
      <c r="B1466">
        <v>2305</v>
      </c>
      <c r="C1466" t="s">
        <v>3290</v>
      </c>
      <c r="D1466" t="s">
        <v>3291</v>
      </c>
      <c r="E1466" t="s">
        <v>23</v>
      </c>
      <c r="F1466" t="s">
        <v>3292</v>
      </c>
      <c r="G1466" t="str">
        <f>"201411003153"</f>
        <v>201411003153</v>
      </c>
      <c r="H1466">
        <v>40</v>
      </c>
      <c r="I1466">
        <v>0</v>
      </c>
      <c r="L1466">
        <v>4</v>
      </c>
      <c r="M1466">
        <v>4</v>
      </c>
      <c r="N1466">
        <v>4</v>
      </c>
      <c r="O1466">
        <v>0</v>
      </c>
      <c r="P1466">
        <v>48</v>
      </c>
      <c r="Q1466">
        <v>0</v>
      </c>
      <c r="R1466">
        <v>0</v>
      </c>
      <c r="S1466">
        <v>6</v>
      </c>
      <c r="T1466">
        <v>0</v>
      </c>
      <c r="U1466" s="1" t="s">
        <v>6251</v>
      </c>
      <c r="V1466">
        <v>54</v>
      </c>
    </row>
    <row r="1467" spans="1:22" ht="15">
      <c r="A1467" s="4">
        <v>1460</v>
      </c>
      <c r="B1467">
        <v>3176</v>
      </c>
      <c r="C1467" t="s">
        <v>2854</v>
      </c>
      <c r="D1467" t="s">
        <v>799</v>
      </c>
      <c r="E1467" t="s">
        <v>3293</v>
      </c>
      <c r="F1467" t="s">
        <v>3294</v>
      </c>
      <c r="G1467" t="str">
        <f>"00450049"</f>
        <v>00450049</v>
      </c>
      <c r="H1467">
        <v>36</v>
      </c>
      <c r="I1467">
        <v>10</v>
      </c>
      <c r="L1467">
        <v>4</v>
      </c>
      <c r="M1467">
        <v>4</v>
      </c>
      <c r="N1467">
        <v>4</v>
      </c>
      <c r="O1467">
        <v>0</v>
      </c>
      <c r="P1467">
        <v>54</v>
      </c>
      <c r="Q1467">
        <v>0</v>
      </c>
      <c r="R1467">
        <v>0</v>
      </c>
      <c r="S1467">
        <v>0</v>
      </c>
      <c r="T1467">
        <v>0</v>
      </c>
      <c r="U1467" s="1">
        <v>0</v>
      </c>
      <c r="V1467">
        <v>54</v>
      </c>
    </row>
    <row r="1468" spans="1:22" ht="15">
      <c r="A1468" s="4">
        <v>1461</v>
      </c>
      <c r="B1468">
        <v>2771</v>
      </c>
      <c r="C1468" t="s">
        <v>3295</v>
      </c>
      <c r="D1468" t="s">
        <v>89</v>
      </c>
      <c r="E1468" t="s">
        <v>19</v>
      </c>
      <c r="F1468" t="s">
        <v>3296</v>
      </c>
      <c r="G1468" t="str">
        <f>"00201953"</f>
        <v>00201953</v>
      </c>
      <c r="H1468">
        <v>40</v>
      </c>
      <c r="I1468">
        <v>0</v>
      </c>
      <c r="L1468">
        <v>4</v>
      </c>
      <c r="M1468">
        <v>4</v>
      </c>
      <c r="N1468">
        <v>4</v>
      </c>
      <c r="O1468">
        <v>0</v>
      </c>
      <c r="P1468">
        <v>48</v>
      </c>
      <c r="Q1468">
        <v>0</v>
      </c>
      <c r="R1468">
        <v>0</v>
      </c>
      <c r="S1468">
        <v>6</v>
      </c>
      <c r="T1468">
        <v>0</v>
      </c>
      <c r="U1468" s="1">
        <v>0</v>
      </c>
      <c r="V1468">
        <v>54</v>
      </c>
    </row>
    <row r="1469" spans="1:22" ht="15">
      <c r="A1469" s="4">
        <v>1462</v>
      </c>
      <c r="B1469">
        <v>1186</v>
      </c>
      <c r="C1469" t="s">
        <v>3297</v>
      </c>
      <c r="D1469" t="s">
        <v>938</v>
      </c>
      <c r="E1469" t="s">
        <v>83</v>
      </c>
      <c r="F1469" t="s">
        <v>3298</v>
      </c>
      <c r="G1469" t="str">
        <f>"00526230"</f>
        <v>00526230</v>
      </c>
      <c r="H1469">
        <v>36</v>
      </c>
      <c r="I1469">
        <v>0</v>
      </c>
      <c r="J1469">
        <v>8</v>
      </c>
      <c r="M1469">
        <v>4</v>
      </c>
      <c r="N1469">
        <v>8</v>
      </c>
      <c r="O1469">
        <v>0</v>
      </c>
      <c r="P1469">
        <v>48</v>
      </c>
      <c r="Q1469">
        <v>0</v>
      </c>
      <c r="R1469">
        <v>0</v>
      </c>
      <c r="S1469">
        <v>6</v>
      </c>
      <c r="T1469">
        <v>0</v>
      </c>
      <c r="U1469" s="1">
        <v>0</v>
      </c>
      <c r="V1469">
        <v>54</v>
      </c>
    </row>
    <row r="1470" spans="1:22" ht="15">
      <c r="A1470" s="4">
        <v>1463</v>
      </c>
      <c r="B1470">
        <v>3433</v>
      </c>
      <c r="C1470" t="s">
        <v>3299</v>
      </c>
      <c r="D1470" t="s">
        <v>14</v>
      </c>
      <c r="E1470" t="s">
        <v>3300</v>
      </c>
      <c r="F1470" t="s">
        <v>3301</v>
      </c>
      <c r="G1470" t="str">
        <f>"00519875"</f>
        <v>00519875</v>
      </c>
      <c r="H1470">
        <v>0</v>
      </c>
      <c r="I1470">
        <v>10</v>
      </c>
      <c r="L1470">
        <v>4</v>
      </c>
      <c r="M1470">
        <v>4</v>
      </c>
      <c r="N1470">
        <v>4</v>
      </c>
      <c r="O1470">
        <v>0</v>
      </c>
      <c r="P1470">
        <v>18</v>
      </c>
      <c r="Q1470">
        <v>24</v>
      </c>
      <c r="R1470">
        <v>24</v>
      </c>
      <c r="S1470">
        <v>12</v>
      </c>
      <c r="T1470">
        <v>0</v>
      </c>
      <c r="U1470" s="1">
        <v>0</v>
      </c>
      <c r="V1470">
        <v>54</v>
      </c>
    </row>
    <row r="1471" spans="1:22" ht="15">
      <c r="A1471" s="4">
        <v>1464</v>
      </c>
      <c r="B1471">
        <v>3110</v>
      </c>
      <c r="C1471" t="s">
        <v>1906</v>
      </c>
      <c r="D1471" t="s">
        <v>170</v>
      </c>
      <c r="E1471" t="s">
        <v>197</v>
      </c>
      <c r="F1471" t="s">
        <v>3302</v>
      </c>
      <c r="G1471" t="str">
        <f>"00504798"</f>
        <v>00504798</v>
      </c>
      <c r="H1471">
        <v>40</v>
      </c>
      <c r="I1471">
        <v>0</v>
      </c>
      <c r="L1471">
        <v>8</v>
      </c>
      <c r="M1471">
        <v>4</v>
      </c>
      <c r="N1471">
        <v>8</v>
      </c>
      <c r="O1471">
        <v>2</v>
      </c>
      <c r="P1471">
        <v>54</v>
      </c>
      <c r="Q1471">
        <v>0</v>
      </c>
      <c r="R1471">
        <v>0</v>
      </c>
      <c r="S1471">
        <v>0</v>
      </c>
      <c r="T1471">
        <v>0</v>
      </c>
      <c r="U1471" s="1">
        <v>0</v>
      </c>
      <c r="V1471">
        <v>54</v>
      </c>
    </row>
    <row r="1472" spans="1:22" ht="15">
      <c r="A1472" s="4">
        <v>1465</v>
      </c>
      <c r="B1472">
        <v>376</v>
      </c>
      <c r="C1472" t="s">
        <v>3303</v>
      </c>
      <c r="D1472" t="s">
        <v>14</v>
      </c>
      <c r="E1472" t="s">
        <v>90</v>
      </c>
      <c r="F1472" t="s">
        <v>3304</v>
      </c>
      <c r="G1472" t="str">
        <f>"00492502"</f>
        <v>00492502</v>
      </c>
      <c r="H1472">
        <v>36</v>
      </c>
      <c r="I1472">
        <v>0</v>
      </c>
      <c r="J1472">
        <v>8</v>
      </c>
      <c r="M1472">
        <v>4</v>
      </c>
      <c r="N1472">
        <v>8</v>
      </c>
      <c r="O1472">
        <v>0</v>
      </c>
      <c r="P1472">
        <v>48</v>
      </c>
      <c r="Q1472">
        <v>6</v>
      </c>
      <c r="R1472">
        <v>6</v>
      </c>
      <c r="S1472">
        <v>0</v>
      </c>
      <c r="T1472">
        <v>0</v>
      </c>
      <c r="U1472" s="1">
        <v>0</v>
      </c>
      <c r="V1472">
        <v>54</v>
      </c>
    </row>
    <row r="1473" spans="1:22" ht="15">
      <c r="A1473" s="4">
        <v>1466</v>
      </c>
      <c r="B1473">
        <v>2118</v>
      </c>
      <c r="C1473" t="s">
        <v>3305</v>
      </c>
      <c r="D1473" t="s">
        <v>29</v>
      </c>
      <c r="E1473" t="s">
        <v>732</v>
      </c>
      <c r="F1473" t="s">
        <v>3306</v>
      </c>
      <c r="G1473" t="str">
        <f>"00294015"</f>
        <v>00294015</v>
      </c>
      <c r="H1473">
        <v>24</v>
      </c>
      <c r="I1473">
        <v>10</v>
      </c>
      <c r="M1473">
        <v>4</v>
      </c>
      <c r="N1473">
        <v>0</v>
      </c>
      <c r="O1473">
        <v>0</v>
      </c>
      <c r="P1473">
        <v>38</v>
      </c>
      <c r="Q1473">
        <v>7</v>
      </c>
      <c r="R1473">
        <v>7</v>
      </c>
      <c r="S1473">
        <v>9</v>
      </c>
      <c r="T1473">
        <v>0</v>
      </c>
      <c r="U1473" s="1">
        <v>0</v>
      </c>
      <c r="V1473">
        <v>54</v>
      </c>
    </row>
    <row r="1474" spans="1:22" ht="15">
      <c r="A1474" s="4">
        <v>1467</v>
      </c>
      <c r="B1474">
        <v>1613</v>
      </c>
      <c r="C1474" t="s">
        <v>3307</v>
      </c>
      <c r="D1474" t="s">
        <v>26</v>
      </c>
      <c r="E1474" t="s">
        <v>19</v>
      </c>
      <c r="F1474" t="s">
        <v>3308</v>
      </c>
      <c r="G1474" t="str">
        <f>"00379077"</f>
        <v>00379077</v>
      </c>
      <c r="H1474">
        <v>36</v>
      </c>
      <c r="I1474">
        <v>10</v>
      </c>
      <c r="L1474">
        <v>4</v>
      </c>
      <c r="M1474">
        <v>4</v>
      </c>
      <c r="N1474">
        <v>4</v>
      </c>
      <c r="O1474">
        <v>0</v>
      </c>
      <c r="P1474">
        <v>54</v>
      </c>
      <c r="Q1474">
        <v>0</v>
      </c>
      <c r="R1474">
        <v>0</v>
      </c>
      <c r="S1474">
        <v>0</v>
      </c>
      <c r="T1474">
        <v>0</v>
      </c>
      <c r="U1474" s="1">
        <v>0</v>
      </c>
      <c r="V1474">
        <v>54</v>
      </c>
    </row>
    <row r="1475" spans="1:22" ht="15">
      <c r="A1475" s="4">
        <v>1468</v>
      </c>
      <c r="B1475">
        <v>408</v>
      </c>
      <c r="C1475" t="s">
        <v>3309</v>
      </c>
      <c r="D1475" t="s">
        <v>68</v>
      </c>
      <c r="E1475" t="s">
        <v>90</v>
      </c>
      <c r="F1475" t="s">
        <v>3310</v>
      </c>
      <c r="G1475" t="str">
        <f>"00486754"</f>
        <v>00486754</v>
      </c>
      <c r="H1475">
        <v>25.8</v>
      </c>
      <c r="I1475">
        <v>0</v>
      </c>
      <c r="M1475">
        <v>4</v>
      </c>
      <c r="N1475">
        <v>0</v>
      </c>
      <c r="O1475">
        <v>0</v>
      </c>
      <c r="P1475">
        <v>29.8</v>
      </c>
      <c r="Q1475">
        <v>24</v>
      </c>
      <c r="R1475">
        <v>24</v>
      </c>
      <c r="S1475">
        <v>0</v>
      </c>
      <c r="T1475">
        <v>0</v>
      </c>
      <c r="U1475" s="1">
        <v>0</v>
      </c>
      <c r="V1475">
        <v>53.8</v>
      </c>
    </row>
    <row r="1476" spans="1:22" ht="15">
      <c r="A1476" s="4">
        <v>1469</v>
      </c>
      <c r="B1476">
        <v>7</v>
      </c>
      <c r="C1476" t="s">
        <v>3311</v>
      </c>
      <c r="D1476" t="s">
        <v>121</v>
      </c>
      <c r="E1476" t="s">
        <v>1180</v>
      </c>
      <c r="F1476" t="s">
        <v>3312</v>
      </c>
      <c r="G1476" t="str">
        <f>"00521151"</f>
        <v>00521151</v>
      </c>
      <c r="H1476">
        <v>37.76</v>
      </c>
      <c r="I1476">
        <v>10</v>
      </c>
      <c r="M1476">
        <v>0</v>
      </c>
      <c r="N1476">
        <v>0</v>
      </c>
      <c r="O1476">
        <v>0</v>
      </c>
      <c r="P1476">
        <v>47.76</v>
      </c>
      <c r="Q1476">
        <v>0</v>
      </c>
      <c r="R1476">
        <v>0</v>
      </c>
      <c r="S1476">
        <v>6</v>
      </c>
      <c r="T1476">
        <v>0</v>
      </c>
      <c r="U1476" s="1">
        <v>0</v>
      </c>
      <c r="V1476">
        <v>53.76</v>
      </c>
    </row>
    <row r="1477" spans="1:22" ht="15">
      <c r="A1477" s="4">
        <v>1470</v>
      </c>
      <c r="B1477">
        <v>1381</v>
      </c>
      <c r="C1477" t="s">
        <v>3313</v>
      </c>
      <c r="D1477" t="s">
        <v>697</v>
      </c>
      <c r="E1477" t="s">
        <v>11</v>
      </c>
      <c r="F1477" t="s">
        <v>3314</v>
      </c>
      <c r="G1477" t="str">
        <f>"201205000022"</f>
        <v>201205000022</v>
      </c>
      <c r="H1477">
        <v>36.72</v>
      </c>
      <c r="I1477">
        <v>0</v>
      </c>
      <c r="K1477">
        <v>6</v>
      </c>
      <c r="M1477">
        <v>4</v>
      </c>
      <c r="N1477">
        <v>6</v>
      </c>
      <c r="O1477">
        <v>0</v>
      </c>
      <c r="P1477">
        <v>46.72</v>
      </c>
      <c r="Q1477">
        <v>7</v>
      </c>
      <c r="R1477">
        <v>7</v>
      </c>
      <c r="S1477">
        <v>0</v>
      </c>
      <c r="T1477">
        <v>0</v>
      </c>
      <c r="U1477" s="1" t="s">
        <v>6251</v>
      </c>
      <c r="V1477">
        <v>53.72</v>
      </c>
    </row>
    <row r="1478" spans="1:22" ht="15">
      <c r="A1478" s="4">
        <v>1471</v>
      </c>
      <c r="B1478">
        <v>397</v>
      </c>
      <c r="C1478" t="s">
        <v>3315</v>
      </c>
      <c r="D1478" t="s">
        <v>333</v>
      </c>
      <c r="E1478" t="s">
        <v>83</v>
      </c>
      <c r="F1478" t="s">
        <v>3316</v>
      </c>
      <c r="G1478" t="str">
        <f>"00207346"</f>
        <v>00207346</v>
      </c>
      <c r="H1478">
        <v>39.72</v>
      </c>
      <c r="I1478">
        <v>0</v>
      </c>
      <c r="L1478">
        <v>4</v>
      </c>
      <c r="M1478">
        <v>4</v>
      </c>
      <c r="N1478">
        <v>4</v>
      </c>
      <c r="O1478">
        <v>0</v>
      </c>
      <c r="P1478">
        <v>47.72</v>
      </c>
      <c r="Q1478">
        <v>0</v>
      </c>
      <c r="R1478">
        <v>0</v>
      </c>
      <c r="S1478">
        <v>6</v>
      </c>
      <c r="T1478">
        <v>0</v>
      </c>
      <c r="U1478" s="1">
        <v>0</v>
      </c>
      <c r="V1478">
        <v>53.72</v>
      </c>
    </row>
    <row r="1479" spans="1:22" ht="15">
      <c r="A1479" s="4">
        <v>1472</v>
      </c>
      <c r="B1479">
        <v>2001</v>
      </c>
      <c r="C1479" t="s">
        <v>3317</v>
      </c>
      <c r="D1479" t="s">
        <v>1006</v>
      </c>
      <c r="E1479" t="s">
        <v>65</v>
      </c>
      <c r="F1479" t="s">
        <v>3318</v>
      </c>
      <c r="G1479" t="str">
        <f>"00481135"</f>
        <v>00481135</v>
      </c>
      <c r="H1479">
        <v>31.68</v>
      </c>
      <c r="I1479">
        <v>10</v>
      </c>
      <c r="M1479">
        <v>0</v>
      </c>
      <c r="N1479">
        <v>0</v>
      </c>
      <c r="O1479">
        <v>0</v>
      </c>
      <c r="P1479">
        <v>41.68</v>
      </c>
      <c r="Q1479">
        <v>6</v>
      </c>
      <c r="R1479">
        <v>6</v>
      </c>
      <c r="S1479">
        <v>6</v>
      </c>
      <c r="T1479">
        <v>0</v>
      </c>
      <c r="U1479" s="1">
        <v>0</v>
      </c>
      <c r="V1479">
        <v>53.68</v>
      </c>
    </row>
    <row r="1480" spans="1:22" ht="15">
      <c r="A1480" s="4">
        <v>1473</v>
      </c>
      <c r="B1480">
        <v>1523</v>
      </c>
      <c r="C1480" t="s">
        <v>3319</v>
      </c>
      <c r="D1480" t="s">
        <v>156</v>
      </c>
      <c r="E1480" t="s">
        <v>364</v>
      </c>
      <c r="F1480" t="s">
        <v>3320</v>
      </c>
      <c r="G1480" t="str">
        <f>"00441748"</f>
        <v>00441748</v>
      </c>
      <c r="H1480">
        <v>39.68</v>
      </c>
      <c r="I1480">
        <v>0</v>
      </c>
      <c r="L1480">
        <v>4</v>
      </c>
      <c r="M1480">
        <v>4</v>
      </c>
      <c r="N1480">
        <v>4</v>
      </c>
      <c r="O1480">
        <v>0</v>
      </c>
      <c r="P1480">
        <v>47.68</v>
      </c>
      <c r="Q1480">
        <v>0</v>
      </c>
      <c r="R1480">
        <v>0</v>
      </c>
      <c r="S1480">
        <v>6</v>
      </c>
      <c r="T1480">
        <v>0</v>
      </c>
      <c r="U1480" s="1">
        <v>0</v>
      </c>
      <c r="V1480">
        <v>53.68</v>
      </c>
    </row>
    <row r="1481" spans="1:22" ht="15">
      <c r="A1481" s="4">
        <v>1474</v>
      </c>
      <c r="B1481">
        <v>357</v>
      </c>
      <c r="C1481" t="s">
        <v>3321</v>
      </c>
      <c r="D1481" t="s">
        <v>640</v>
      </c>
      <c r="E1481" t="s">
        <v>344</v>
      </c>
      <c r="F1481" t="s">
        <v>3322</v>
      </c>
      <c r="G1481" t="str">
        <f>"00531729"</f>
        <v>00531729</v>
      </c>
      <c r="H1481">
        <v>39.6</v>
      </c>
      <c r="I1481">
        <v>10</v>
      </c>
      <c r="M1481">
        <v>4</v>
      </c>
      <c r="N1481">
        <v>0</v>
      </c>
      <c r="O1481">
        <v>0</v>
      </c>
      <c r="P1481">
        <v>53.6</v>
      </c>
      <c r="Q1481">
        <v>0</v>
      </c>
      <c r="R1481">
        <v>0</v>
      </c>
      <c r="S1481">
        <v>0</v>
      </c>
      <c r="T1481">
        <v>0</v>
      </c>
      <c r="U1481" s="1">
        <v>0</v>
      </c>
      <c r="V1481">
        <v>53.6</v>
      </c>
    </row>
    <row r="1482" spans="1:22" ht="15">
      <c r="A1482" s="4">
        <v>1475</v>
      </c>
      <c r="B1482">
        <v>2922</v>
      </c>
      <c r="C1482" t="s">
        <v>3323</v>
      </c>
      <c r="D1482" t="s">
        <v>3324</v>
      </c>
      <c r="E1482" t="s">
        <v>3325</v>
      </c>
      <c r="F1482" t="s">
        <v>3326</v>
      </c>
      <c r="G1482" t="str">
        <f>"00158129"</f>
        <v>00158129</v>
      </c>
      <c r="H1482">
        <v>21.6</v>
      </c>
      <c r="I1482">
        <v>0</v>
      </c>
      <c r="L1482">
        <v>4</v>
      </c>
      <c r="M1482">
        <v>4</v>
      </c>
      <c r="N1482">
        <v>4</v>
      </c>
      <c r="O1482">
        <v>0</v>
      </c>
      <c r="P1482">
        <v>29.6</v>
      </c>
      <c r="Q1482">
        <v>24</v>
      </c>
      <c r="R1482">
        <v>24</v>
      </c>
      <c r="S1482">
        <v>0</v>
      </c>
      <c r="T1482">
        <v>0</v>
      </c>
      <c r="U1482" s="1">
        <v>0</v>
      </c>
      <c r="V1482">
        <v>53.6</v>
      </c>
    </row>
    <row r="1483" spans="1:22" ht="15">
      <c r="A1483" s="4">
        <v>1476</v>
      </c>
      <c r="B1483">
        <v>3274</v>
      </c>
      <c r="C1483" t="s">
        <v>2512</v>
      </c>
      <c r="D1483" t="s">
        <v>222</v>
      </c>
      <c r="E1483" t="s">
        <v>19</v>
      </c>
      <c r="F1483" t="s">
        <v>3327</v>
      </c>
      <c r="G1483" t="str">
        <f>"00498489"</f>
        <v>00498489</v>
      </c>
      <c r="H1483">
        <v>39.6</v>
      </c>
      <c r="I1483">
        <v>10</v>
      </c>
      <c r="M1483">
        <v>4</v>
      </c>
      <c r="N1483">
        <v>0</v>
      </c>
      <c r="O1483">
        <v>0</v>
      </c>
      <c r="P1483">
        <v>53.6</v>
      </c>
      <c r="Q1483">
        <v>0</v>
      </c>
      <c r="R1483">
        <v>0</v>
      </c>
      <c r="S1483">
        <v>0</v>
      </c>
      <c r="T1483">
        <v>0</v>
      </c>
      <c r="U1483" s="1">
        <v>0</v>
      </c>
      <c r="V1483">
        <v>53.6</v>
      </c>
    </row>
    <row r="1484" spans="1:22" ht="15">
      <c r="A1484" s="4">
        <v>1477</v>
      </c>
      <c r="B1484">
        <v>561</v>
      </c>
      <c r="C1484" t="s">
        <v>3328</v>
      </c>
      <c r="D1484" t="s">
        <v>643</v>
      </c>
      <c r="E1484" t="s">
        <v>73</v>
      </c>
      <c r="F1484" t="s">
        <v>3329</v>
      </c>
      <c r="G1484" t="str">
        <f>"00272463"</f>
        <v>00272463</v>
      </c>
      <c r="H1484">
        <v>39.6</v>
      </c>
      <c r="I1484">
        <v>10</v>
      </c>
      <c r="M1484">
        <v>4</v>
      </c>
      <c r="N1484">
        <v>0</v>
      </c>
      <c r="O1484">
        <v>0</v>
      </c>
      <c r="P1484">
        <v>53.6</v>
      </c>
      <c r="Q1484">
        <v>0</v>
      </c>
      <c r="R1484">
        <v>0</v>
      </c>
      <c r="S1484">
        <v>0</v>
      </c>
      <c r="T1484">
        <v>0</v>
      </c>
      <c r="U1484" s="1">
        <v>0</v>
      </c>
      <c r="V1484">
        <v>53.6</v>
      </c>
    </row>
    <row r="1485" spans="1:22" ht="15">
      <c r="A1485" s="4">
        <v>1478</v>
      </c>
      <c r="B1485">
        <v>2437</v>
      </c>
      <c r="C1485" t="s">
        <v>3330</v>
      </c>
      <c r="D1485" t="s">
        <v>68</v>
      </c>
      <c r="E1485" t="s">
        <v>403</v>
      </c>
      <c r="F1485" t="s">
        <v>3331</v>
      </c>
      <c r="G1485" t="str">
        <f>"00191037"</f>
        <v>00191037</v>
      </c>
      <c r="H1485">
        <v>37.6</v>
      </c>
      <c r="I1485">
        <v>0</v>
      </c>
      <c r="M1485">
        <v>4</v>
      </c>
      <c r="N1485">
        <v>0</v>
      </c>
      <c r="O1485">
        <v>0</v>
      </c>
      <c r="P1485">
        <v>41.6</v>
      </c>
      <c r="Q1485">
        <v>0</v>
      </c>
      <c r="R1485">
        <v>0</v>
      </c>
      <c r="S1485">
        <v>12</v>
      </c>
      <c r="T1485">
        <v>0</v>
      </c>
      <c r="U1485" s="1">
        <v>0</v>
      </c>
      <c r="V1485">
        <v>53.6</v>
      </c>
    </row>
    <row r="1486" spans="1:22" ht="15">
      <c r="A1486" s="4">
        <v>1479</v>
      </c>
      <c r="B1486">
        <v>3182</v>
      </c>
      <c r="C1486" t="s">
        <v>3332</v>
      </c>
      <c r="D1486" t="s">
        <v>102</v>
      </c>
      <c r="E1486" t="s">
        <v>23</v>
      </c>
      <c r="F1486" t="s">
        <v>3333</v>
      </c>
      <c r="G1486" t="str">
        <f>"00530063"</f>
        <v>00530063</v>
      </c>
      <c r="H1486">
        <v>21.6</v>
      </c>
      <c r="I1486">
        <v>0</v>
      </c>
      <c r="M1486">
        <v>4</v>
      </c>
      <c r="N1486">
        <v>0</v>
      </c>
      <c r="O1486">
        <v>0</v>
      </c>
      <c r="P1486">
        <v>25.6</v>
      </c>
      <c r="Q1486">
        <v>28</v>
      </c>
      <c r="R1486">
        <v>28</v>
      </c>
      <c r="S1486">
        <v>0</v>
      </c>
      <c r="T1486">
        <v>0</v>
      </c>
      <c r="U1486" s="1">
        <v>0</v>
      </c>
      <c r="V1486">
        <v>53.6</v>
      </c>
    </row>
    <row r="1487" spans="1:22" ht="15">
      <c r="A1487" s="4">
        <v>1480</v>
      </c>
      <c r="B1487">
        <v>1462</v>
      </c>
      <c r="C1487" t="s">
        <v>3334</v>
      </c>
      <c r="D1487" t="s">
        <v>22</v>
      </c>
      <c r="E1487" t="s">
        <v>327</v>
      </c>
      <c r="F1487" t="s">
        <v>3335</v>
      </c>
      <c r="G1487" t="str">
        <f>"00529872"</f>
        <v>00529872</v>
      </c>
      <c r="H1487">
        <v>34.48</v>
      </c>
      <c r="I1487">
        <v>0</v>
      </c>
      <c r="L1487">
        <v>4</v>
      </c>
      <c r="M1487">
        <v>4</v>
      </c>
      <c r="N1487">
        <v>4</v>
      </c>
      <c r="O1487">
        <v>2</v>
      </c>
      <c r="P1487">
        <v>44.48</v>
      </c>
      <c r="Q1487">
        <v>0</v>
      </c>
      <c r="R1487">
        <v>0</v>
      </c>
      <c r="S1487">
        <v>9</v>
      </c>
      <c r="T1487">
        <v>0</v>
      </c>
      <c r="U1487" s="1">
        <v>0</v>
      </c>
      <c r="V1487">
        <v>53.48</v>
      </c>
    </row>
    <row r="1488" spans="1:22" ht="15">
      <c r="A1488" s="4">
        <v>1481</v>
      </c>
      <c r="B1488">
        <v>1597</v>
      </c>
      <c r="C1488" t="s">
        <v>3336</v>
      </c>
      <c r="D1488" t="s">
        <v>3337</v>
      </c>
      <c r="E1488" t="s">
        <v>157</v>
      </c>
      <c r="F1488" t="s">
        <v>3338</v>
      </c>
      <c r="G1488" t="str">
        <f>"00075627"</f>
        <v>00075627</v>
      </c>
      <c r="H1488">
        <v>32.44</v>
      </c>
      <c r="I1488">
        <v>0</v>
      </c>
      <c r="M1488">
        <v>4</v>
      </c>
      <c r="N1488">
        <v>0</v>
      </c>
      <c r="O1488">
        <v>0</v>
      </c>
      <c r="P1488">
        <v>36.44</v>
      </c>
      <c r="Q1488">
        <v>8</v>
      </c>
      <c r="R1488">
        <v>8</v>
      </c>
      <c r="S1488">
        <v>9</v>
      </c>
      <c r="T1488">
        <v>0</v>
      </c>
      <c r="U1488" s="1">
        <v>0</v>
      </c>
      <c r="V1488">
        <v>53.44</v>
      </c>
    </row>
    <row r="1489" spans="1:22" ht="15">
      <c r="A1489" s="4">
        <v>1482</v>
      </c>
      <c r="B1489">
        <v>2423</v>
      </c>
      <c r="C1489" t="s">
        <v>533</v>
      </c>
      <c r="D1489" t="s">
        <v>76</v>
      </c>
      <c r="E1489" t="s">
        <v>23</v>
      </c>
      <c r="F1489" t="s">
        <v>3339</v>
      </c>
      <c r="G1489" t="str">
        <f>"00513721"</f>
        <v>00513721</v>
      </c>
      <c r="H1489">
        <v>50.4</v>
      </c>
      <c r="I1489">
        <v>0</v>
      </c>
      <c r="M1489">
        <v>0</v>
      </c>
      <c r="N1489">
        <v>0</v>
      </c>
      <c r="O1489">
        <v>0</v>
      </c>
      <c r="P1489">
        <v>50.4</v>
      </c>
      <c r="Q1489">
        <v>0</v>
      </c>
      <c r="R1489">
        <v>0</v>
      </c>
      <c r="S1489">
        <v>3</v>
      </c>
      <c r="T1489">
        <v>0</v>
      </c>
      <c r="U1489" s="1">
        <v>0</v>
      </c>
      <c r="V1489">
        <v>53.4</v>
      </c>
    </row>
    <row r="1490" spans="1:22" ht="15">
      <c r="A1490" s="4">
        <v>1483</v>
      </c>
      <c r="B1490">
        <v>82</v>
      </c>
      <c r="C1490" t="s">
        <v>3340</v>
      </c>
      <c r="D1490" t="s">
        <v>89</v>
      </c>
      <c r="E1490" t="s">
        <v>1180</v>
      </c>
      <c r="F1490" t="s">
        <v>3341</v>
      </c>
      <c r="G1490" t="str">
        <f>"00090372"</f>
        <v>00090372</v>
      </c>
      <c r="H1490">
        <v>36.36</v>
      </c>
      <c r="I1490">
        <v>0</v>
      </c>
      <c r="L1490">
        <v>4</v>
      </c>
      <c r="M1490">
        <v>4</v>
      </c>
      <c r="N1490">
        <v>4</v>
      </c>
      <c r="O1490">
        <v>0</v>
      </c>
      <c r="P1490">
        <v>44.36</v>
      </c>
      <c r="Q1490">
        <v>0</v>
      </c>
      <c r="R1490">
        <v>0</v>
      </c>
      <c r="S1490">
        <v>9</v>
      </c>
      <c r="T1490">
        <v>0</v>
      </c>
      <c r="U1490" s="1">
        <v>0</v>
      </c>
      <c r="V1490">
        <v>53.36</v>
      </c>
    </row>
    <row r="1491" spans="1:22" ht="15">
      <c r="A1491" s="4">
        <v>1484</v>
      </c>
      <c r="B1491">
        <v>1276</v>
      </c>
      <c r="C1491" t="s">
        <v>3342</v>
      </c>
      <c r="D1491" t="s">
        <v>511</v>
      </c>
      <c r="E1491" t="s">
        <v>1497</v>
      </c>
      <c r="F1491" t="s">
        <v>3343</v>
      </c>
      <c r="G1491" t="str">
        <f>"20160706556"</f>
        <v>20160706556</v>
      </c>
      <c r="H1491">
        <v>39.28</v>
      </c>
      <c r="I1491">
        <v>0</v>
      </c>
      <c r="L1491">
        <v>4</v>
      </c>
      <c r="M1491">
        <v>4</v>
      </c>
      <c r="N1491">
        <v>4</v>
      </c>
      <c r="O1491">
        <v>0</v>
      </c>
      <c r="P1491">
        <v>47.28</v>
      </c>
      <c r="Q1491">
        <v>0</v>
      </c>
      <c r="R1491">
        <v>0</v>
      </c>
      <c r="S1491">
        <v>6</v>
      </c>
      <c r="T1491">
        <v>0</v>
      </c>
      <c r="U1491" s="1">
        <v>0</v>
      </c>
      <c r="V1491">
        <v>53.28</v>
      </c>
    </row>
    <row r="1492" spans="1:22" ht="15">
      <c r="A1492" s="4">
        <v>1485</v>
      </c>
      <c r="B1492">
        <v>1182</v>
      </c>
      <c r="C1492" t="s">
        <v>3344</v>
      </c>
      <c r="D1492" t="s">
        <v>121</v>
      </c>
      <c r="E1492" t="s">
        <v>23</v>
      </c>
      <c r="F1492" t="s">
        <v>3345</v>
      </c>
      <c r="G1492" t="str">
        <f>"00441947"</f>
        <v>00441947</v>
      </c>
      <c r="H1492">
        <v>34.28</v>
      </c>
      <c r="I1492">
        <v>10</v>
      </c>
      <c r="M1492">
        <v>0</v>
      </c>
      <c r="N1492">
        <v>0</v>
      </c>
      <c r="O1492">
        <v>0</v>
      </c>
      <c r="P1492">
        <v>44.28</v>
      </c>
      <c r="Q1492">
        <v>6</v>
      </c>
      <c r="R1492">
        <v>6</v>
      </c>
      <c r="S1492">
        <v>3</v>
      </c>
      <c r="T1492">
        <v>0</v>
      </c>
      <c r="U1492" s="1">
        <v>0</v>
      </c>
      <c r="V1492">
        <v>53.28</v>
      </c>
    </row>
    <row r="1493" spans="1:22" ht="15">
      <c r="A1493" s="4">
        <v>1486</v>
      </c>
      <c r="B1493">
        <v>59</v>
      </c>
      <c r="C1493" t="s">
        <v>3346</v>
      </c>
      <c r="D1493" t="s">
        <v>3347</v>
      </c>
      <c r="E1493" t="s">
        <v>3348</v>
      </c>
      <c r="F1493" t="s">
        <v>3349</v>
      </c>
      <c r="G1493" t="str">
        <f>"00515470"</f>
        <v>00515470</v>
      </c>
      <c r="H1493">
        <v>43.2</v>
      </c>
      <c r="I1493">
        <v>0</v>
      </c>
      <c r="M1493">
        <v>0</v>
      </c>
      <c r="N1493">
        <v>0</v>
      </c>
      <c r="O1493">
        <v>0</v>
      </c>
      <c r="P1493">
        <v>43.2</v>
      </c>
      <c r="Q1493">
        <v>10</v>
      </c>
      <c r="R1493">
        <v>10</v>
      </c>
      <c r="S1493">
        <v>0</v>
      </c>
      <c r="T1493">
        <v>0</v>
      </c>
      <c r="U1493" s="1">
        <v>0</v>
      </c>
      <c r="V1493">
        <v>53.2</v>
      </c>
    </row>
    <row r="1494" spans="1:22" ht="15">
      <c r="A1494" s="4">
        <v>1487</v>
      </c>
      <c r="B1494">
        <v>2291</v>
      </c>
      <c r="C1494" t="s">
        <v>96</v>
      </c>
      <c r="D1494" t="s">
        <v>179</v>
      </c>
      <c r="E1494" t="s">
        <v>23</v>
      </c>
      <c r="F1494" t="s">
        <v>3350</v>
      </c>
      <c r="G1494" t="str">
        <f>"201511012220"</f>
        <v>201511012220</v>
      </c>
      <c r="H1494">
        <v>43.2</v>
      </c>
      <c r="I1494">
        <v>10</v>
      </c>
      <c r="M1494">
        <v>0</v>
      </c>
      <c r="N1494">
        <v>0</v>
      </c>
      <c r="O1494">
        <v>0</v>
      </c>
      <c r="P1494">
        <v>53.2</v>
      </c>
      <c r="Q1494">
        <v>0</v>
      </c>
      <c r="R1494">
        <v>0</v>
      </c>
      <c r="S1494">
        <v>0</v>
      </c>
      <c r="T1494">
        <v>0</v>
      </c>
      <c r="U1494" s="1">
        <v>0</v>
      </c>
      <c r="V1494">
        <v>53.2</v>
      </c>
    </row>
    <row r="1495" spans="1:22" ht="15">
      <c r="A1495" s="4">
        <v>1488</v>
      </c>
      <c r="B1495">
        <v>2322</v>
      </c>
      <c r="C1495" t="s">
        <v>3351</v>
      </c>
      <c r="D1495" t="s">
        <v>127</v>
      </c>
      <c r="E1495" t="s">
        <v>23</v>
      </c>
      <c r="F1495" t="s">
        <v>3352</v>
      </c>
      <c r="G1495" t="str">
        <f>"00532158"</f>
        <v>00532158</v>
      </c>
      <c r="H1495">
        <v>43.2</v>
      </c>
      <c r="I1495">
        <v>0</v>
      </c>
      <c r="M1495">
        <v>4</v>
      </c>
      <c r="N1495">
        <v>0</v>
      </c>
      <c r="O1495">
        <v>0</v>
      </c>
      <c r="P1495">
        <v>47.2</v>
      </c>
      <c r="Q1495">
        <v>0</v>
      </c>
      <c r="R1495">
        <v>0</v>
      </c>
      <c r="S1495">
        <v>6</v>
      </c>
      <c r="T1495">
        <v>0</v>
      </c>
      <c r="U1495" s="1">
        <v>0</v>
      </c>
      <c r="V1495">
        <v>53.2</v>
      </c>
    </row>
    <row r="1496" spans="1:22" ht="15">
      <c r="A1496" s="4">
        <v>1489</v>
      </c>
      <c r="B1496">
        <v>2642</v>
      </c>
      <c r="C1496" t="s">
        <v>3353</v>
      </c>
      <c r="D1496" t="s">
        <v>173</v>
      </c>
      <c r="E1496" t="s">
        <v>51</v>
      </c>
      <c r="F1496" t="s">
        <v>3354</v>
      </c>
      <c r="G1496" t="str">
        <f>"00037210"</f>
        <v>00037210</v>
      </c>
      <c r="H1496">
        <v>43.2</v>
      </c>
      <c r="I1496">
        <v>0</v>
      </c>
      <c r="M1496">
        <v>4</v>
      </c>
      <c r="N1496">
        <v>0</v>
      </c>
      <c r="O1496">
        <v>0</v>
      </c>
      <c r="P1496">
        <v>47.2</v>
      </c>
      <c r="Q1496">
        <v>0</v>
      </c>
      <c r="R1496">
        <v>0</v>
      </c>
      <c r="S1496">
        <v>6</v>
      </c>
      <c r="T1496">
        <v>0</v>
      </c>
      <c r="U1496" s="1">
        <v>0</v>
      </c>
      <c r="V1496">
        <v>53.2</v>
      </c>
    </row>
    <row r="1497" spans="1:22" ht="15">
      <c r="A1497" s="4">
        <v>1490</v>
      </c>
      <c r="B1497">
        <v>2870</v>
      </c>
      <c r="C1497" t="s">
        <v>3355</v>
      </c>
      <c r="D1497" t="s">
        <v>643</v>
      </c>
      <c r="E1497" t="s">
        <v>23</v>
      </c>
      <c r="F1497" t="s">
        <v>3356</v>
      </c>
      <c r="G1497" t="str">
        <f>"00247802"</f>
        <v>00247802</v>
      </c>
      <c r="H1497">
        <v>26.2</v>
      </c>
      <c r="I1497">
        <v>0</v>
      </c>
      <c r="M1497">
        <v>4</v>
      </c>
      <c r="N1497">
        <v>0</v>
      </c>
      <c r="O1497">
        <v>0</v>
      </c>
      <c r="P1497">
        <v>30.2</v>
      </c>
      <c r="Q1497">
        <v>0</v>
      </c>
      <c r="R1497">
        <v>0</v>
      </c>
      <c r="S1497">
        <v>3</v>
      </c>
      <c r="T1497">
        <v>20</v>
      </c>
      <c r="U1497" s="1">
        <v>0</v>
      </c>
      <c r="V1497">
        <v>53.2</v>
      </c>
    </row>
    <row r="1498" spans="1:22" ht="15">
      <c r="A1498" s="4">
        <v>1491</v>
      </c>
      <c r="B1498">
        <v>2143</v>
      </c>
      <c r="C1498" t="s">
        <v>2325</v>
      </c>
      <c r="D1498" t="s">
        <v>3357</v>
      </c>
      <c r="E1498" t="s">
        <v>3358</v>
      </c>
      <c r="F1498" t="s">
        <v>3359</v>
      </c>
      <c r="G1498" t="str">
        <f>"00185393"</f>
        <v>00185393</v>
      </c>
      <c r="H1498">
        <v>7.2</v>
      </c>
      <c r="I1498">
        <v>10</v>
      </c>
      <c r="M1498">
        <v>4</v>
      </c>
      <c r="N1498">
        <v>0</v>
      </c>
      <c r="O1498">
        <v>0</v>
      </c>
      <c r="P1498">
        <v>21.2</v>
      </c>
      <c r="Q1498">
        <v>32</v>
      </c>
      <c r="R1498">
        <v>32</v>
      </c>
      <c r="S1498">
        <v>0</v>
      </c>
      <c r="T1498">
        <v>0</v>
      </c>
      <c r="U1498" s="1">
        <v>0</v>
      </c>
      <c r="V1498">
        <v>53.2</v>
      </c>
    </row>
    <row r="1499" spans="1:22" ht="15">
      <c r="A1499" s="4">
        <v>1492</v>
      </c>
      <c r="B1499">
        <v>288</v>
      </c>
      <c r="C1499" t="s">
        <v>3360</v>
      </c>
      <c r="D1499" t="s">
        <v>333</v>
      </c>
      <c r="E1499" t="s">
        <v>270</v>
      </c>
      <c r="F1499" t="s">
        <v>3361</v>
      </c>
      <c r="G1499" t="str">
        <f>"00508556"</f>
        <v>00508556</v>
      </c>
      <c r="H1499">
        <v>43.2</v>
      </c>
      <c r="I1499">
        <v>0</v>
      </c>
      <c r="M1499">
        <v>4</v>
      </c>
      <c r="N1499">
        <v>0</v>
      </c>
      <c r="O1499">
        <v>0</v>
      </c>
      <c r="P1499">
        <v>47.2</v>
      </c>
      <c r="Q1499">
        <v>6</v>
      </c>
      <c r="R1499">
        <v>6</v>
      </c>
      <c r="S1499">
        <v>0</v>
      </c>
      <c r="T1499">
        <v>0</v>
      </c>
      <c r="U1499" s="1">
        <v>0</v>
      </c>
      <c r="V1499">
        <v>53.2</v>
      </c>
    </row>
    <row r="1500" spans="1:22" ht="15">
      <c r="A1500" s="4">
        <v>1493</v>
      </c>
      <c r="B1500">
        <v>3439</v>
      </c>
      <c r="C1500" t="s">
        <v>3362</v>
      </c>
      <c r="D1500" t="s">
        <v>580</v>
      </c>
      <c r="E1500" t="s">
        <v>99</v>
      </c>
      <c r="F1500" t="s">
        <v>3363</v>
      </c>
      <c r="G1500" t="str">
        <f>"00533334"</f>
        <v>00533334</v>
      </c>
      <c r="H1500">
        <v>43.2</v>
      </c>
      <c r="I1500">
        <v>0</v>
      </c>
      <c r="K1500">
        <v>6</v>
      </c>
      <c r="M1500">
        <v>4</v>
      </c>
      <c r="N1500">
        <v>6</v>
      </c>
      <c r="O1500">
        <v>0</v>
      </c>
      <c r="P1500">
        <v>53.2</v>
      </c>
      <c r="Q1500">
        <v>0</v>
      </c>
      <c r="R1500">
        <v>0</v>
      </c>
      <c r="S1500">
        <v>0</v>
      </c>
      <c r="T1500">
        <v>0</v>
      </c>
      <c r="U1500" s="1">
        <v>0</v>
      </c>
      <c r="V1500">
        <v>53.2</v>
      </c>
    </row>
    <row r="1501" spans="1:22" ht="15">
      <c r="A1501" s="4">
        <v>1494</v>
      </c>
      <c r="B1501">
        <v>846</v>
      </c>
      <c r="C1501" t="s">
        <v>3364</v>
      </c>
      <c r="D1501" t="s">
        <v>3365</v>
      </c>
      <c r="E1501" t="s">
        <v>3366</v>
      </c>
      <c r="F1501" t="s">
        <v>3367</v>
      </c>
      <c r="G1501" t="str">
        <f>"00470704"</f>
        <v>00470704</v>
      </c>
      <c r="H1501">
        <v>43.2</v>
      </c>
      <c r="I1501">
        <v>0</v>
      </c>
      <c r="L1501">
        <v>4</v>
      </c>
      <c r="M1501">
        <v>4</v>
      </c>
      <c r="N1501">
        <v>4</v>
      </c>
      <c r="O1501">
        <v>2</v>
      </c>
      <c r="P1501">
        <v>53.2</v>
      </c>
      <c r="Q1501">
        <v>0</v>
      </c>
      <c r="R1501">
        <v>0</v>
      </c>
      <c r="S1501">
        <v>0</v>
      </c>
      <c r="T1501">
        <v>0</v>
      </c>
      <c r="U1501" s="1">
        <v>0</v>
      </c>
      <c r="V1501">
        <v>53.2</v>
      </c>
    </row>
    <row r="1502" spans="1:22" ht="15">
      <c r="A1502" s="4">
        <v>1495</v>
      </c>
      <c r="B1502">
        <v>2889</v>
      </c>
      <c r="C1502" t="s">
        <v>3368</v>
      </c>
      <c r="D1502" t="s">
        <v>259</v>
      </c>
      <c r="E1502" t="s">
        <v>23</v>
      </c>
      <c r="F1502" t="s">
        <v>3369</v>
      </c>
      <c r="G1502" t="str">
        <f>"00532947"</f>
        <v>00532947</v>
      </c>
      <c r="H1502">
        <v>43.2</v>
      </c>
      <c r="I1502">
        <v>10</v>
      </c>
      <c r="M1502">
        <v>0</v>
      </c>
      <c r="N1502">
        <v>0</v>
      </c>
      <c r="O1502">
        <v>0</v>
      </c>
      <c r="P1502">
        <v>53.2</v>
      </c>
      <c r="Q1502">
        <v>0</v>
      </c>
      <c r="R1502">
        <v>0</v>
      </c>
      <c r="S1502">
        <v>0</v>
      </c>
      <c r="T1502">
        <v>0</v>
      </c>
      <c r="U1502" s="1">
        <v>0</v>
      </c>
      <c r="V1502">
        <v>53.2</v>
      </c>
    </row>
    <row r="1503" spans="1:22" ht="15">
      <c r="A1503" s="4">
        <v>1496</v>
      </c>
      <c r="B1503">
        <v>590</v>
      </c>
      <c r="C1503" t="s">
        <v>3370</v>
      </c>
      <c r="D1503" t="s">
        <v>14</v>
      </c>
      <c r="E1503" t="s">
        <v>30</v>
      </c>
      <c r="F1503" t="s">
        <v>3371</v>
      </c>
      <c r="G1503" t="str">
        <f>"00507721"</f>
        <v>00507721</v>
      </c>
      <c r="H1503">
        <v>7.2</v>
      </c>
      <c r="I1503">
        <v>0</v>
      </c>
      <c r="L1503">
        <v>4</v>
      </c>
      <c r="M1503">
        <v>0</v>
      </c>
      <c r="N1503">
        <v>4</v>
      </c>
      <c r="O1503">
        <v>2</v>
      </c>
      <c r="P1503">
        <v>13.2</v>
      </c>
      <c r="Q1503">
        <v>40</v>
      </c>
      <c r="R1503">
        <v>40</v>
      </c>
      <c r="S1503">
        <v>0</v>
      </c>
      <c r="T1503">
        <v>0</v>
      </c>
      <c r="U1503" s="1">
        <v>0</v>
      </c>
      <c r="V1503">
        <v>53.2</v>
      </c>
    </row>
    <row r="1504" spans="1:22" ht="15">
      <c r="A1504" s="4">
        <v>1497</v>
      </c>
      <c r="B1504">
        <v>1648</v>
      </c>
      <c r="C1504" t="s">
        <v>3372</v>
      </c>
      <c r="D1504" t="s">
        <v>89</v>
      </c>
      <c r="E1504" t="s">
        <v>73</v>
      </c>
      <c r="F1504" t="s">
        <v>3373</v>
      </c>
      <c r="G1504" t="str">
        <f>"00053755"</f>
        <v>00053755</v>
      </c>
      <c r="H1504">
        <v>43.2</v>
      </c>
      <c r="I1504">
        <v>0</v>
      </c>
      <c r="L1504">
        <v>4</v>
      </c>
      <c r="M1504">
        <v>4</v>
      </c>
      <c r="N1504">
        <v>4</v>
      </c>
      <c r="O1504">
        <v>2</v>
      </c>
      <c r="P1504">
        <v>53.2</v>
      </c>
      <c r="Q1504">
        <v>0</v>
      </c>
      <c r="R1504">
        <v>0</v>
      </c>
      <c r="S1504">
        <v>0</v>
      </c>
      <c r="T1504">
        <v>0</v>
      </c>
      <c r="U1504" s="1">
        <v>0</v>
      </c>
      <c r="V1504">
        <v>53.2</v>
      </c>
    </row>
    <row r="1505" spans="1:22" ht="15">
      <c r="A1505" s="4">
        <v>1498</v>
      </c>
      <c r="B1505">
        <v>1147</v>
      </c>
      <c r="C1505" t="s">
        <v>3374</v>
      </c>
      <c r="D1505" t="s">
        <v>14</v>
      </c>
      <c r="E1505" t="s">
        <v>327</v>
      </c>
      <c r="F1505" t="s">
        <v>3375</v>
      </c>
      <c r="G1505" t="str">
        <f>"00492024"</f>
        <v>00492024</v>
      </c>
      <c r="H1505">
        <v>34.16</v>
      </c>
      <c r="I1505">
        <v>0</v>
      </c>
      <c r="L1505">
        <v>4</v>
      </c>
      <c r="M1505">
        <v>4</v>
      </c>
      <c r="N1505">
        <v>4</v>
      </c>
      <c r="O1505">
        <v>0</v>
      </c>
      <c r="P1505">
        <v>42.16</v>
      </c>
      <c r="Q1505">
        <v>5</v>
      </c>
      <c r="R1505">
        <v>5</v>
      </c>
      <c r="S1505">
        <v>6</v>
      </c>
      <c r="T1505">
        <v>0</v>
      </c>
      <c r="U1505" s="1">
        <v>0</v>
      </c>
      <c r="V1505">
        <v>53.16</v>
      </c>
    </row>
    <row r="1506" spans="1:22" ht="15">
      <c r="A1506" s="4">
        <v>1499</v>
      </c>
      <c r="B1506">
        <v>3138</v>
      </c>
      <c r="C1506" t="s">
        <v>3376</v>
      </c>
      <c r="D1506" t="s">
        <v>3377</v>
      </c>
      <c r="E1506" t="s">
        <v>270</v>
      </c>
      <c r="F1506" t="s">
        <v>3378</v>
      </c>
      <c r="G1506" t="str">
        <f>"00532523"</f>
        <v>00532523</v>
      </c>
      <c r="H1506">
        <v>36</v>
      </c>
      <c r="I1506">
        <v>0</v>
      </c>
      <c r="M1506">
        <v>0</v>
      </c>
      <c r="N1506">
        <v>0</v>
      </c>
      <c r="O1506">
        <v>0</v>
      </c>
      <c r="P1506">
        <v>36</v>
      </c>
      <c r="Q1506">
        <v>17</v>
      </c>
      <c r="R1506">
        <v>17</v>
      </c>
      <c r="S1506">
        <v>0</v>
      </c>
      <c r="T1506">
        <v>0</v>
      </c>
      <c r="U1506" s="1">
        <v>0</v>
      </c>
      <c r="V1506">
        <v>53</v>
      </c>
    </row>
    <row r="1507" spans="1:22" ht="15">
      <c r="A1507" s="4">
        <v>1500</v>
      </c>
      <c r="B1507">
        <v>2144</v>
      </c>
      <c r="C1507" t="s">
        <v>3379</v>
      </c>
      <c r="D1507" t="s">
        <v>958</v>
      </c>
      <c r="E1507" t="s">
        <v>51</v>
      </c>
      <c r="F1507" t="s">
        <v>3380</v>
      </c>
      <c r="G1507" t="str">
        <f>"00530571"</f>
        <v>00530571</v>
      </c>
      <c r="H1507">
        <v>30</v>
      </c>
      <c r="I1507">
        <v>10</v>
      </c>
      <c r="L1507">
        <v>4</v>
      </c>
      <c r="M1507">
        <v>0</v>
      </c>
      <c r="N1507">
        <v>4</v>
      </c>
      <c r="O1507">
        <v>0</v>
      </c>
      <c r="P1507">
        <v>44</v>
      </c>
      <c r="Q1507">
        <v>3</v>
      </c>
      <c r="R1507">
        <v>3</v>
      </c>
      <c r="S1507">
        <v>6</v>
      </c>
      <c r="T1507">
        <v>0</v>
      </c>
      <c r="U1507" s="1">
        <v>0</v>
      </c>
      <c r="V1507">
        <v>53</v>
      </c>
    </row>
    <row r="1508" spans="1:22" ht="15">
      <c r="A1508" s="4">
        <v>1501</v>
      </c>
      <c r="B1508">
        <v>978</v>
      </c>
      <c r="C1508" t="s">
        <v>3381</v>
      </c>
      <c r="D1508" t="s">
        <v>193</v>
      </c>
      <c r="E1508" t="s">
        <v>23</v>
      </c>
      <c r="F1508" t="s">
        <v>3382</v>
      </c>
      <c r="G1508" t="str">
        <f>"00532037"</f>
        <v>00532037</v>
      </c>
      <c r="H1508">
        <v>38</v>
      </c>
      <c r="I1508">
        <v>0</v>
      </c>
      <c r="L1508">
        <v>4</v>
      </c>
      <c r="M1508">
        <v>0</v>
      </c>
      <c r="N1508">
        <v>4</v>
      </c>
      <c r="O1508">
        <v>0</v>
      </c>
      <c r="P1508">
        <v>42</v>
      </c>
      <c r="Q1508">
        <v>5</v>
      </c>
      <c r="R1508">
        <v>5</v>
      </c>
      <c r="S1508">
        <v>6</v>
      </c>
      <c r="T1508">
        <v>0</v>
      </c>
      <c r="U1508" s="1">
        <v>0</v>
      </c>
      <c r="V1508">
        <v>53</v>
      </c>
    </row>
    <row r="1509" spans="1:22" ht="15">
      <c r="A1509" s="4">
        <v>1502</v>
      </c>
      <c r="B1509">
        <v>28</v>
      </c>
      <c r="C1509" t="s">
        <v>3383</v>
      </c>
      <c r="D1509" t="s">
        <v>173</v>
      </c>
      <c r="E1509" t="s">
        <v>23</v>
      </c>
      <c r="F1509" t="s">
        <v>3384</v>
      </c>
      <c r="G1509" t="str">
        <f>"201406002774"</f>
        <v>201406002774</v>
      </c>
      <c r="H1509">
        <v>36</v>
      </c>
      <c r="I1509">
        <v>0</v>
      </c>
      <c r="J1509">
        <v>8</v>
      </c>
      <c r="M1509">
        <v>4</v>
      </c>
      <c r="N1509">
        <v>8</v>
      </c>
      <c r="O1509">
        <v>2</v>
      </c>
      <c r="P1509">
        <v>50</v>
      </c>
      <c r="Q1509">
        <v>0</v>
      </c>
      <c r="R1509">
        <v>0</v>
      </c>
      <c r="S1509">
        <v>3</v>
      </c>
      <c r="T1509">
        <v>0</v>
      </c>
      <c r="U1509" s="1">
        <v>0</v>
      </c>
      <c r="V1509">
        <v>53</v>
      </c>
    </row>
    <row r="1510" spans="1:22" ht="15">
      <c r="A1510" s="4">
        <v>1503</v>
      </c>
      <c r="B1510">
        <v>3231</v>
      </c>
      <c r="C1510" t="s">
        <v>3385</v>
      </c>
      <c r="D1510" t="s">
        <v>643</v>
      </c>
      <c r="E1510" t="s">
        <v>55</v>
      </c>
      <c r="F1510" t="s">
        <v>3386</v>
      </c>
      <c r="G1510" t="str">
        <f>"00508904"</f>
        <v>00508904</v>
      </c>
      <c r="H1510">
        <v>36</v>
      </c>
      <c r="I1510">
        <v>10</v>
      </c>
      <c r="M1510">
        <v>0</v>
      </c>
      <c r="N1510">
        <v>0</v>
      </c>
      <c r="O1510">
        <v>0</v>
      </c>
      <c r="P1510">
        <v>46</v>
      </c>
      <c r="Q1510">
        <v>7</v>
      </c>
      <c r="R1510">
        <v>7</v>
      </c>
      <c r="S1510">
        <v>0</v>
      </c>
      <c r="T1510">
        <v>0</v>
      </c>
      <c r="U1510" s="1">
        <v>0</v>
      </c>
      <c r="V1510">
        <v>53</v>
      </c>
    </row>
    <row r="1511" spans="1:22" ht="15">
      <c r="A1511" s="4">
        <v>1504</v>
      </c>
      <c r="B1511">
        <v>3003</v>
      </c>
      <c r="C1511" t="s">
        <v>3387</v>
      </c>
      <c r="D1511" t="s">
        <v>3388</v>
      </c>
      <c r="E1511" t="s">
        <v>55</v>
      </c>
      <c r="F1511" t="s">
        <v>3389</v>
      </c>
      <c r="G1511" t="str">
        <f>"00442362"</f>
        <v>00442362</v>
      </c>
      <c r="H1511">
        <v>36</v>
      </c>
      <c r="I1511">
        <v>0</v>
      </c>
      <c r="L1511">
        <v>4</v>
      </c>
      <c r="M1511">
        <v>4</v>
      </c>
      <c r="N1511">
        <v>4</v>
      </c>
      <c r="O1511">
        <v>0</v>
      </c>
      <c r="P1511">
        <v>44</v>
      </c>
      <c r="Q1511">
        <v>9</v>
      </c>
      <c r="R1511">
        <v>9</v>
      </c>
      <c r="S1511">
        <v>0</v>
      </c>
      <c r="T1511">
        <v>0</v>
      </c>
      <c r="U1511" s="1">
        <v>0</v>
      </c>
      <c r="V1511">
        <v>53</v>
      </c>
    </row>
    <row r="1512" spans="1:22" ht="15">
      <c r="A1512" s="4">
        <v>1505</v>
      </c>
      <c r="B1512">
        <v>562</v>
      </c>
      <c r="C1512" t="s">
        <v>3390</v>
      </c>
      <c r="D1512" t="s">
        <v>3391</v>
      </c>
      <c r="E1512" t="s">
        <v>90</v>
      </c>
      <c r="F1512" t="s">
        <v>3392</v>
      </c>
      <c r="G1512" t="str">
        <f>"00498740"</f>
        <v>00498740</v>
      </c>
      <c r="H1512">
        <v>36</v>
      </c>
      <c r="I1512">
        <v>0</v>
      </c>
      <c r="M1512">
        <v>4</v>
      </c>
      <c r="N1512">
        <v>0</v>
      </c>
      <c r="O1512">
        <v>2</v>
      </c>
      <c r="P1512">
        <v>42</v>
      </c>
      <c r="Q1512">
        <v>8</v>
      </c>
      <c r="R1512">
        <v>8</v>
      </c>
      <c r="S1512">
        <v>3</v>
      </c>
      <c r="T1512">
        <v>0</v>
      </c>
      <c r="U1512" s="1">
        <v>0</v>
      </c>
      <c r="V1512">
        <v>53</v>
      </c>
    </row>
    <row r="1513" spans="1:22" ht="15">
      <c r="A1513" s="4">
        <v>1506</v>
      </c>
      <c r="B1513">
        <v>2532</v>
      </c>
      <c r="C1513" t="s">
        <v>3393</v>
      </c>
      <c r="D1513" t="s">
        <v>3394</v>
      </c>
      <c r="E1513" t="s">
        <v>134</v>
      </c>
      <c r="F1513" t="s">
        <v>3395</v>
      </c>
      <c r="G1513" t="str">
        <f>"00508024"</f>
        <v>00508024</v>
      </c>
      <c r="H1513">
        <v>36</v>
      </c>
      <c r="I1513">
        <v>0</v>
      </c>
      <c r="M1513">
        <v>0</v>
      </c>
      <c r="N1513">
        <v>0</v>
      </c>
      <c r="O1513">
        <v>0</v>
      </c>
      <c r="P1513">
        <v>36</v>
      </c>
      <c r="Q1513">
        <v>17</v>
      </c>
      <c r="R1513">
        <v>17</v>
      </c>
      <c r="S1513">
        <v>0</v>
      </c>
      <c r="T1513">
        <v>0</v>
      </c>
      <c r="U1513" s="1">
        <v>0</v>
      </c>
      <c r="V1513">
        <v>53</v>
      </c>
    </row>
    <row r="1514" spans="1:22" ht="15">
      <c r="A1514" s="4">
        <v>1507</v>
      </c>
      <c r="B1514">
        <v>2077</v>
      </c>
      <c r="C1514" t="s">
        <v>3396</v>
      </c>
      <c r="D1514" t="s">
        <v>173</v>
      </c>
      <c r="E1514" t="s">
        <v>11</v>
      </c>
      <c r="F1514" t="s">
        <v>3397</v>
      </c>
      <c r="G1514" t="str">
        <f>"00504028"</f>
        <v>00504028</v>
      </c>
      <c r="H1514">
        <v>36</v>
      </c>
      <c r="I1514">
        <v>0</v>
      </c>
      <c r="L1514">
        <v>4</v>
      </c>
      <c r="M1514">
        <v>4</v>
      </c>
      <c r="N1514">
        <v>4</v>
      </c>
      <c r="O1514">
        <v>0</v>
      </c>
      <c r="P1514">
        <v>44</v>
      </c>
      <c r="Q1514">
        <v>6</v>
      </c>
      <c r="R1514">
        <v>6</v>
      </c>
      <c r="S1514">
        <v>3</v>
      </c>
      <c r="T1514">
        <v>0</v>
      </c>
      <c r="U1514" s="1">
        <v>0</v>
      </c>
      <c r="V1514">
        <v>53</v>
      </c>
    </row>
    <row r="1515" spans="1:22" ht="15">
      <c r="A1515" s="4">
        <v>1508</v>
      </c>
      <c r="B1515">
        <v>1152</v>
      </c>
      <c r="C1515" t="s">
        <v>3398</v>
      </c>
      <c r="D1515" t="s">
        <v>3399</v>
      </c>
      <c r="E1515" t="s">
        <v>83</v>
      </c>
      <c r="F1515" t="s">
        <v>3400</v>
      </c>
      <c r="G1515" t="str">
        <f>"201605000176"</f>
        <v>201605000176</v>
      </c>
      <c r="H1515">
        <v>36</v>
      </c>
      <c r="I1515">
        <v>0</v>
      </c>
      <c r="M1515">
        <v>4</v>
      </c>
      <c r="N1515">
        <v>0</v>
      </c>
      <c r="O1515">
        <v>0</v>
      </c>
      <c r="P1515">
        <v>40</v>
      </c>
      <c r="Q1515">
        <v>7</v>
      </c>
      <c r="R1515">
        <v>7</v>
      </c>
      <c r="S1515">
        <v>6</v>
      </c>
      <c r="T1515">
        <v>0</v>
      </c>
      <c r="U1515" s="1">
        <v>0</v>
      </c>
      <c r="V1515">
        <v>53</v>
      </c>
    </row>
    <row r="1516" spans="1:22" ht="15">
      <c r="A1516" s="4">
        <v>1509</v>
      </c>
      <c r="B1516">
        <v>670</v>
      </c>
      <c r="C1516" t="s">
        <v>1713</v>
      </c>
      <c r="D1516" t="s">
        <v>582</v>
      </c>
      <c r="E1516" t="s">
        <v>41</v>
      </c>
      <c r="F1516" t="s">
        <v>3401</v>
      </c>
      <c r="G1516" t="str">
        <f>"00499925"</f>
        <v>00499925</v>
      </c>
      <c r="H1516">
        <v>20</v>
      </c>
      <c r="I1516">
        <v>0</v>
      </c>
      <c r="M1516">
        <v>4</v>
      </c>
      <c r="N1516">
        <v>0</v>
      </c>
      <c r="O1516">
        <v>0</v>
      </c>
      <c r="P1516">
        <v>24</v>
      </c>
      <c r="Q1516">
        <v>23</v>
      </c>
      <c r="R1516">
        <v>23</v>
      </c>
      <c r="S1516">
        <v>6</v>
      </c>
      <c r="T1516">
        <v>0</v>
      </c>
      <c r="U1516" s="1">
        <v>0</v>
      </c>
      <c r="V1516">
        <v>53</v>
      </c>
    </row>
    <row r="1517" spans="1:22" ht="15">
      <c r="A1517" s="4">
        <v>1510</v>
      </c>
      <c r="B1517">
        <v>1204</v>
      </c>
      <c r="C1517" t="s">
        <v>3402</v>
      </c>
      <c r="D1517" t="s">
        <v>3403</v>
      </c>
      <c r="E1517" t="s">
        <v>90</v>
      </c>
      <c r="F1517" t="s">
        <v>3404</v>
      </c>
      <c r="G1517" t="str">
        <f>"00471303"</f>
        <v>00471303</v>
      </c>
      <c r="H1517">
        <v>30.92</v>
      </c>
      <c r="I1517">
        <v>0</v>
      </c>
      <c r="M1517">
        <v>4</v>
      </c>
      <c r="N1517">
        <v>0</v>
      </c>
      <c r="O1517">
        <v>0</v>
      </c>
      <c r="P1517">
        <v>34.92</v>
      </c>
      <c r="Q1517">
        <v>12</v>
      </c>
      <c r="R1517">
        <v>12</v>
      </c>
      <c r="S1517">
        <v>6</v>
      </c>
      <c r="T1517">
        <v>0</v>
      </c>
      <c r="U1517" s="1">
        <v>0</v>
      </c>
      <c r="V1517">
        <v>52.92</v>
      </c>
    </row>
    <row r="1518" spans="1:22" ht="15">
      <c r="A1518" s="4">
        <v>1511</v>
      </c>
      <c r="B1518">
        <v>1392</v>
      </c>
      <c r="C1518" t="s">
        <v>3405</v>
      </c>
      <c r="D1518" t="s">
        <v>211</v>
      </c>
      <c r="E1518" t="s">
        <v>83</v>
      </c>
      <c r="F1518" t="s">
        <v>3406</v>
      </c>
      <c r="G1518" t="str">
        <f>"00316293"</f>
        <v>00316293</v>
      </c>
      <c r="H1518">
        <v>33.88</v>
      </c>
      <c r="I1518">
        <v>10</v>
      </c>
      <c r="M1518">
        <v>0</v>
      </c>
      <c r="N1518">
        <v>0</v>
      </c>
      <c r="O1518">
        <v>0</v>
      </c>
      <c r="P1518">
        <v>43.88</v>
      </c>
      <c r="Q1518">
        <v>3</v>
      </c>
      <c r="R1518">
        <v>3</v>
      </c>
      <c r="S1518">
        <v>6</v>
      </c>
      <c r="T1518">
        <v>0</v>
      </c>
      <c r="U1518" s="1">
        <v>0</v>
      </c>
      <c r="V1518">
        <v>52.88</v>
      </c>
    </row>
    <row r="1519" spans="1:22" ht="15">
      <c r="A1519" s="4">
        <v>1512</v>
      </c>
      <c r="B1519">
        <v>104</v>
      </c>
      <c r="C1519" t="s">
        <v>3407</v>
      </c>
      <c r="D1519" t="s">
        <v>121</v>
      </c>
      <c r="E1519" t="s">
        <v>90</v>
      </c>
      <c r="F1519" t="s">
        <v>3408</v>
      </c>
      <c r="G1519" t="str">
        <f>"00526616"</f>
        <v>00526616</v>
      </c>
      <c r="H1519">
        <v>36.88</v>
      </c>
      <c r="I1519">
        <v>0</v>
      </c>
      <c r="M1519">
        <v>4</v>
      </c>
      <c r="N1519">
        <v>0</v>
      </c>
      <c r="O1519">
        <v>0</v>
      </c>
      <c r="P1519">
        <v>40.88</v>
      </c>
      <c r="Q1519">
        <v>6</v>
      </c>
      <c r="R1519">
        <v>6</v>
      </c>
      <c r="S1519">
        <v>6</v>
      </c>
      <c r="T1519">
        <v>0</v>
      </c>
      <c r="U1519" s="1">
        <v>0</v>
      </c>
      <c r="V1519">
        <v>52.88</v>
      </c>
    </row>
    <row r="1520" spans="1:22" ht="15">
      <c r="A1520" s="4">
        <v>1513</v>
      </c>
      <c r="B1520">
        <v>1035</v>
      </c>
      <c r="C1520" t="s">
        <v>3409</v>
      </c>
      <c r="D1520" t="s">
        <v>580</v>
      </c>
      <c r="E1520" t="s">
        <v>2414</v>
      </c>
      <c r="F1520" t="s">
        <v>3410</v>
      </c>
      <c r="G1520" t="str">
        <f>"00248856"</f>
        <v>00248856</v>
      </c>
      <c r="H1520">
        <v>37.84</v>
      </c>
      <c r="I1520">
        <v>0</v>
      </c>
      <c r="L1520">
        <v>4</v>
      </c>
      <c r="M1520">
        <v>0</v>
      </c>
      <c r="N1520">
        <v>4</v>
      </c>
      <c r="O1520">
        <v>0</v>
      </c>
      <c r="P1520">
        <v>41.84</v>
      </c>
      <c r="Q1520">
        <v>8</v>
      </c>
      <c r="R1520">
        <v>8</v>
      </c>
      <c r="S1520">
        <v>3</v>
      </c>
      <c r="T1520">
        <v>0</v>
      </c>
      <c r="U1520" s="1">
        <v>0</v>
      </c>
      <c r="V1520">
        <v>52.84</v>
      </c>
    </row>
    <row r="1521" spans="1:22" ht="15">
      <c r="A1521" s="4">
        <v>1514</v>
      </c>
      <c r="B1521">
        <v>1816</v>
      </c>
      <c r="C1521" t="s">
        <v>3411</v>
      </c>
      <c r="D1521" t="s">
        <v>545</v>
      </c>
      <c r="E1521" t="s">
        <v>23</v>
      </c>
      <c r="F1521" t="s">
        <v>3412</v>
      </c>
      <c r="G1521" t="str">
        <f>"00464297"</f>
        <v>00464297</v>
      </c>
      <c r="H1521">
        <v>38.8</v>
      </c>
      <c r="I1521">
        <v>0</v>
      </c>
      <c r="L1521">
        <v>4</v>
      </c>
      <c r="M1521">
        <v>4</v>
      </c>
      <c r="N1521">
        <v>4</v>
      </c>
      <c r="O1521">
        <v>0</v>
      </c>
      <c r="P1521">
        <v>46.8</v>
      </c>
      <c r="Q1521">
        <v>0</v>
      </c>
      <c r="R1521">
        <v>0</v>
      </c>
      <c r="S1521">
        <v>6</v>
      </c>
      <c r="T1521">
        <v>0</v>
      </c>
      <c r="U1521" s="1">
        <v>0</v>
      </c>
      <c r="V1521">
        <v>52.8</v>
      </c>
    </row>
    <row r="1522" spans="1:22" ht="15">
      <c r="A1522" s="4">
        <v>1515</v>
      </c>
      <c r="B1522">
        <v>1642</v>
      </c>
      <c r="C1522" t="s">
        <v>3413</v>
      </c>
      <c r="D1522" t="s">
        <v>273</v>
      </c>
      <c r="E1522" t="s">
        <v>19</v>
      </c>
      <c r="F1522" t="s">
        <v>3414</v>
      </c>
      <c r="G1522" t="str">
        <f>"00110359"</f>
        <v>00110359</v>
      </c>
      <c r="H1522">
        <v>28.8</v>
      </c>
      <c r="I1522">
        <v>10</v>
      </c>
      <c r="K1522">
        <v>6</v>
      </c>
      <c r="L1522">
        <v>4</v>
      </c>
      <c r="M1522">
        <v>4</v>
      </c>
      <c r="N1522">
        <v>10</v>
      </c>
      <c r="O1522">
        <v>0</v>
      </c>
      <c r="P1522">
        <v>52.8</v>
      </c>
      <c r="Q1522">
        <v>0</v>
      </c>
      <c r="R1522">
        <v>0</v>
      </c>
      <c r="S1522">
        <v>0</v>
      </c>
      <c r="T1522">
        <v>0</v>
      </c>
      <c r="U1522" s="1">
        <v>0</v>
      </c>
      <c r="V1522">
        <v>52.8</v>
      </c>
    </row>
    <row r="1523" spans="1:22" ht="15">
      <c r="A1523" s="4">
        <v>1516</v>
      </c>
      <c r="B1523">
        <v>122</v>
      </c>
      <c r="C1523" t="s">
        <v>3415</v>
      </c>
      <c r="D1523" t="s">
        <v>222</v>
      </c>
      <c r="E1523" t="s">
        <v>225</v>
      </c>
      <c r="F1523" t="s">
        <v>3416</v>
      </c>
      <c r="G1523" t="str">
        <f>"200712002985"</f>
        <v>200712002985</v>
      </c>
      <c r="H1523">
        <v>28.8</v>
      </c>
      <c r="I1523">
        <v>10</v>
      </c>
      <c r="L1523">
        <v>4</v>
      </c>
      <c r="M1523">
        <v>4</v>
      </c>
      <c r="N1523">
        <v>4</v>
      </c>
      <c r="O1523">
        <v>0</v>
      </c>
      <c r="P1523">
        <v>46.8</v>
      </c>
      <c r="Q1523">
        <v>6</v>
      </c>
      <c r="R1523">
        <v>6</v>
      </c>
      <c r="S1523">
        <v>0</v>
      </c>
      <c r="T1523">
        <v>0</v>
      </c>
      <c r="U1523" s="1">
        <v>0</v>
      </c>
      <c r="V1523">
        <v>52.8</v>
      </c>
    </row>
    <row r="1524" spans="1:22" ht="15">
      <c r="A1524" s="4">
        <v>1517</v>
      </c>
      <c r="B1524">
        <v>85</v>
      </c>
      <c r="C1524" t="s">
        <v>3417</v>
      </c>
      <c r="D1524" t="s">
        <v>179</v>
      </c>
      <c r="E1524" t="s">
        <v>23</v>
      </c>
      <c r="F1524" t="s">
        <v>3418</v>
      </c>
      <c r="G1524" t="str">
        <f>"00509720"</f>
        <v>00509720</v>
      </c>
      <c r="H1524">
        <v>28.8</v>
      </c>
      <c r="I1524">
        <v>10</v>
      </c>
      <c r="L1524">
        <v>4</v>
      </c>
      <c r="M1524">
        <v>4</v>
      </c>
      <c r="N1524">
        <v>4</v>
      </c>
      <c r="O1524">
        <v>0</v>
      </c>
      <c r="P1524">
        <v>46.8</v>
      </c>
      <c r="Q1524">
        <v>6</v>
      </c>
      <c r="R1524">
        <v>6</v>
      </c>
      <c r="S1524">
        <v>0</v>
      </c>
      <c r="T1524">
        <v>0</v>
      </c>
      <c r="U1524" s="1">
        <v>0</v>
      </c>
      <c r="V1524">
        <v>52.8</v>
      </c>
    </row>
    <row r="1525" spans="1:22" ht="15">
      <c r="A1525" s="4">
        <v>1518</v>
      </c>
      <c r="B1525">
        <v>966</v>
      </c>
      <c r="C1525" t="s">
        <v>2999</v>
      </c>
      <c r="D1525" t="s">
        <v>1697</v>
      </c>
      <c r="E1525" t="s">
        <v>90</v>
      </c>
      <c r="F1525" t="s">
        <v>3419</v>
      </c>
      <c r="G1525" t="str">
        <f>"00163448"</f>
        <v>00163448</v>
      </c>
      <c r="H1525">
        <v>28.8</v>
      </c>
      <c r="I1525">
        <v>0</v>
      </c>
      <c r="M1525">
        <v>4</v>
      </c>
      <c r="N1525">
        <v>0</v>
      </c>
      <c r="O1525">
        <v>0</v>
      </c>
      <c r="P1525">
        <v>32.8</v>
      </c>
      <c r="Q1525">
        <v>20</v>
      </c>
      <c r="R1525">
        <v>20</v>
      </c>
      <c r="S1525">
        <v>0</v>
      </c>
      <c r="T1525">
        <v>0</v>
      </c>
      <c r="U1525" s="1">
        <v>0</v>
      </c>
      <c r="V1525">
        <v>52.8</v>
      </c>
    </row>
    <row r="1526" spans="1:22" ht="15">
      <c r="A1526" s="4">
        <v>1519</v>
      </c>
      <c r="B1526">
        <v>299</v>
      </c>
      <c r="C1526" t="s">
        <v>3420</v>
      </c>
      <c r="D1526" t="s">
        <v>1133</v>
      </c>
      <c r="E1526" t="s">
        <v>23</v>
      </c>
      <c r="F1526" t="s">
        <v>3421</v>
      </c>
      <c r="G1526" t="str">
        <f>"201511005676"</f>
        <v>201511005676</v>
      </c>
      <c r="H1526">
        <v>28.8</v>
      </c>
      <c r="I1526">
        <v>10</v>
      </c>
      <c r="L1526">
        <v>4</v>
      </c>
      <c r="M1526">
        <v>4</v>
      </c>
      <c r="N1526">
        <v>4</v>
      </c>
      <c r="O1526">
        <v>0</v>
      </c>
      <c r="P1526">
        <v>46.8</v>
      </c>
      <c r="Q1526">
        <v>0</v>
      </c>
      <c r="R1526">
        <v>0</v>
      </c>
      <c r="S1526">
        <v>6</v>
      </c>
      <c r="T1526">
        <v>0</v>
      </c>
      <c r="U1526" s="1">
        <v>0</v>
      </c>
      <c r="V1526">
        <v>52.8</v>
      </c>
    </row>
    <row r="1527" spans="1:22" ht="15">
      <c r="A1527" s="4">
        <v>1520</v>
      </c>
      <c r="B1527">
        <v>368</v>
      </c>
      <c r="C1527" t="s">
        <v>3422</v>
      </c>
      <c r="D1527" t="s">
        <v>26</v>
      </c>
      <c r="E1527" t="s">
        <v>83</v>
      </c>
      <c r="F1527" t="s">
        <v>3423</v>
      </c>
      <c r="G1527" t="str">
        <f>"201511005574"</f>
        <v>201511005574</v>
      </c>
      <c r="H1527">
        <v>32.72</v>
      </c>
      <c r="I1527">
        <v>0</v>
      </c>
      <c r="M1527">
        <v>4</v>
      </c>
      <c r="N1527">
        <v>0</v>
      </c>
      <c r="O1527">
        <v>0</v>
      </c>
      <c r="P1527">
        <v>36.72</v>
      </c>
      <c r="Q1527">
        <v>13</v>
      </c>
      <c r="R1527">
        <v>13</v>
      </c>
      <c r="S1527">
        <v>3</v>
      </c>
      <c r="T1527">
        <v>0</v>
      </c>
      <c r="U1527" s="1">
        <v>0</v>
      </c>
      <c r="V1527">
        <v>52.72</v>
      </c>
    </row>
    <row r="1528" spans="1:22" ht="15">
      <c r="A1528" s="4">
        <v>1521</v>
      </c>
      <c r="B1528">
        <v>574</v>
      </c>
      <c r="C1528" t="s">
        <v>1033</v>
      </c>
      <c r="D1528" t="s">
        <v>40</v>
      </c>
      <c r="E1528" t="s">
        <v>157</v>
      </c>
      <c r="F1528" t="s">
        <v>3424</v>
      </c>
      <c r="G1528" t="str">
        <f>"00504000"</f>
        <v>00504000</v>
      </c>
      <c r="H1528">
        <v>21.6</v>
      </c>
      <c r="I1528">
        <v>0</v>
      </c>
      <c r="M1528">
        <v>4</v>
      </c>
      <c r="N1528">
        <v>0</v>
      </c>
      <c r="O1528">
        <v>0</v>
      </c>
      <c r="P1528">
        <v>25.6</v>
      </c>
      <c r="Q1528">
        <v>27</v>
      </c>
      <c r="R1528">
        <v>27</v>
      </c>
      <c r="S1528">
        <v>0</v>
      </c>
      <c r="T1528">
        <v>0</v>
      </c>
      <c r="U1528" s="1">
        <v>0</v>
      </c>
      <c r="V1528">
        <v>52.6</v>
      </c>
    </row>
    <row r="1529" spans="1:22" ht="15">
      <c r="A1529" s="4">
        <v>1522</v>
      </c>
      <c r="B1529">
        <v>3152</v>
      </c>
      <c r="C1529" t="s">
        <v>3425</v>
      </c>
      <c r="D1529" t="s">
        <v>89</v>
      </c>
      <c r="E1529" t="s">
        <v>30</v>
      </c>
      <c r="F1529" t="s">
        <v>3426</v>
      </c>
      <c r="G1529" t="str">
        <f>"00493853"</f>
        <v>00493853</v>
      </c>
      <c r="H1529">
        <v>21.6</v>
      </c>
      <c r="I1529">
        <v>0</v>
      </c>
      <c r="L1529">
        <v>4</v>
      </c>
      <c r="M1529">
        <v>4</v>
      </c>
      <c r="N1529">
        <v>4</v>
      </c>
      <c r="O1529">
        <v>0</v>
      </c>
      <c r="P1529">
        <v>29.6</v>
      </c>
      <c r="Q1529">
        <v>23</v>
      </c>
      <c r="R1529">
        <v>23</v>
      </c>
      <c r="S1529">
        <v>0</v>
      </c>
      <c r="T1529">
        <v>0</v>
      </c>
      <c r="U1529" s="1">
        <v>0</v>
      </c>
      <c r="V1529">
        <v>52.6</v>
      </c>
    </row>
    <row r="1530" spans="1:22" ht="15">
      <c r="A1530" s="4">
        <v>1523</v>
      </c>
      <c r="B1530">
        <v>3256</v>
      </c>
      <c r="C1530" t="s">
        <v>3427</v>
      </c>
      <c r="D1530" t="s">
        <v>89</v>
      </c>
      <c r="E1530" t="s">
        <v>327</v>
      </c>
      <c r="F1530" t="s">
        <v>3428</v>
      </c>
      <c r="G1530" t="str">
        <f>"00161620"</f>
        <v>00161620</v>
      </c>
      <c r="H1530">
        <v>38.56</v>
      </c>
      <c r="I1530">
        <v>0</v>
      </c>
      <c r="L1530">
        <v>4</v>
      </c>
      <c r="M1530">
        <v>4</v>
      </c>
      <c r="N1530">
        <v>4</v>
      </c>
      <c r="O1530">
        <v>0</v>
      </c>
      <c r="P1530">
        <v>46.56</v>
      </c>
      <c r="Q1530">
        <v>0</v>
      </c>
      <c r="R1530">
        <v>0</v>
      </c>
      <c r="S1530">
        <v>6</v>
      </c>
      <c r="T1530">
        <v>0</v>
      </c>
      <c r="U1530" s="1">
        <v>0</v>
      </c>
      <c r="V1530">
        <v>52.56</v>
      </c>
    </row>
    <row r="1531" spans="1:22" ht="15">
      <c r="A1531" s="4">
        <v>1524</v>
      </c>
      <c r="B1531">
        <v>1548</v>
      </c>
      <c r="C1531" t="s">
        <v>1466</v>
      </c>
      <c r="D1531" t="s">
        <v>602</v>
      </c>
      <c r="E1531" t="s">
        <v>30</v>
      </c>
      <c r="F1531" t="s">
        <v>3429</v>
      </c>
      <c r="G1531" t="str">
        <f>"00510101"</f>
        <v>00510101</v>
      </c>
      <c r="H1531">
        <v>28.56</v>
      </c>
      <c r="I1531">
        <v>10</v>
      </c>
      <c r="M1531">
        <v>0</v>
      </c>
      <c r="N1531">
        <v>0</v>
      </c>
      <c r="O1531">
        <v>0</v>
      </c>
      <c r="P1531">
        <v>38.56</v>
      </c>
      <c r="Q1531">
        <v>8</v>
      </c>
      <c r="R1531">
        <v>8</v>
      </c>
      <c r="S1531">
        <v>6</v>
      </c>
      <c r="T1531">
        <v>0</v>
      </c>
      <c r="U1531" s="1">
        <v>0</v>
      </c>
      <c r="V1531">
        <v>52.56</v>
      </c>
    </row>
    <row r="1532" spans="1:22" ht="15">
      <c r="A1532" s="4">
        <v>1525</v>
      </c>
      <c r="B1532">
        <v>1651</v>
      </c>
      <c r="C1532" t="s">
        <v>3430</v>
      </c>
      <c r="D1532" t="s">
        <v>273</v>
      </c>
      <c r="E1532" t="s">
        <v>11</v>
      </c>
      <c r="F1532" t="s">
        <v>3431</v>
      </c>
      <c r="G1532" t="str">
        <f>"201511043221"</f>
        <v>201511043221</v>
      </c>
      <c r="H1532">
        <v>36.44</v>
      </c>
      <c r="I1532">
        <v>0</v>
      </c>
      <c r="L1532">
        <v>4</v>
      </c>
      <c r="M1532">
        <v>4</v>
      </c>
      <c r="N1532">
        <v>4</v>
      </c>
      <c r="O1532">
        <v>0</v>
      </c>
      <c r="P1532">
        <v>44.44</v>
      </c>
      <c r="Q1532">
        <v>8</v>
      </c>
      <c r="R1532">
        <v>8</v>
      </c>
      <c r="S1532">
        <v>0</v>
      </c>
      <c r="T1532">
        <v>0</v>
      </c>
      <c r="U1532" s="1">
        <v>0</v>
      </c>
      <c r="V1532">
        <v>52.44</v>
      </c>
    </row>
    <row r="1533" spans="1:22" ht="15">
      <c r="A1533" s="4">
        <v>1526</v>
      </c>
      <c r="B1533">
        <v>761</v>
      </c>
      <c r="C1533" t="s">
        <v>3432</v>
      </c>
      <c r="D1533" t="s">
        <v>121</v>
      </c>
      <c r="E1533" t="s">
        <v>11</v>
      </c>
      <c r="F1533" t="s">
        <v>3433</v>
      </c>
      <c r="G1533" t="str">
        <f>"200802004419"</f>
        <v>200802004419</v>
      </c>
      <c r="H1533">
        <v>35.4</v>
      </c>
      <c r="I1533">
        <v>0</v>
      </c>
      <c r="L1533">
        <v>4</v>
      </c>
      <c r="M1533">
        <v>4</v>
      </c>
      <c r="N1533">
        <v>4</v>
      </c>
      <c r="O1533">
        <v>0</v>
      </c>
      <c r="P1533">
        <v>43.4</v>
      </c>
      <c r="Q1533">
        <v>6</v>
      </c>
      <c r="R1533">
        <v>6</v>
      </c>
      <c r="S1533">
        <v>3</v>
      </c>
      <c r="T1533">
        <v>0</v>
      </c>
      <c r="U1533" s="1">
        <v>0</v>
      </c>
      <c r="V1533">
        <v>52.4</v>
      </c>
    </row>
    <row r="1534" spans="1:22" ht="15">
      <c r="A1534" s="4">
        <v>1527</v>
      </c>
      <c r="B1534">
        <v>222</v>
      </c>
      <c r="C1534" t="s">
        <v>3127</v>
      </c>
      <c r="D1534" t="s">
        <v>40</v>
      </c>
      <c r="E1534" t="s">
        <v>23</v>
      </c>
      <c r="F1534" t="s">
        <v>3434</v>
      </c>
      <c r="G1534" t="str">
        <f>"00513024"</f>
        <v>00513024</v>
      </c>
      <c r="H1534">
        <v>14.4</v>
      </c>
      <c r="I1534">
        <v>0</v>
      </c>
      <c r="J1534">
        <v>8</v>
      </c>
      <c r="M1534">
        <v>0</v>
      </c>
      <c r="N1534">
        <v>8</v>
      </c>
      <c r="O1534">
        <v>0</v>
      </c>
      <c r="P1534">
        <v>22.4</v>
      </c>
      <c r="Q1534">
        <v>30</v>
      </c>
      <c r="R1534">
        <v>30</v>
      </c>
      <c r="S1534">
        <v>0</v>
      </c>
      <c r="T1534">
        <v>0</v>
      </c>
      <c r="U1534" s="1">
        <v>0</v>
      </c>
      <c r="V1534">
        <v>52.4</v>
      </c>
    </row>
    <row r="1535" spans="1:22" ht="15">
      <c r="A1535" s="4">
        <v>1528</v>
      </c>
      <c r="B1535">
        <v>671</v>
      </c>
      <c r="C1535" t="s">
        <v>26</v>
      </c>
      <c r="D1535" t="s">
        <v>3435</v>
      </c>
      <c r="E1535" t="s">
        <v>1180</v>
      </c>
      <c r="F1535" t="s">
        <v>3436</v>
      </c>
      <c r="G1535" t="str">
        <f>"00505179"</f>
        <v>00505179</v>
      </c>
      <c r="H1535">
        <v>14.4</v>
      </c>
      <c r="I1535">
        <v>10</v>
      </c>
      <c r="M1535">
        <v>4</v>
      </c>
      <c r="N1535">
        <v>0</v>
      </c>
      <c r="O1535">
        <v>0</v>
      </c>
      <c r="P1535">
        <v>28.4</v>
      </c>
      <c r="Q1535">
        <v>24</v>
      </c>
      <c r="R1535">
        <v>24</v>
      </c>
      <c r="S1535">
        <v>0</v>
      </c>
      <c r="T1535">
        <v>0</v>
      </c>
      <c r="U1535" s="1">
        <v>0</v>
      </c>
      <c r="V1535">
        <v>52.4</v>
      </c>
    </row>
    <row r="1536" spans="1:22" ht="15">
      <c r="A1536" s="4">
        <v>1529</v>
      </c>
      <c r="B1536">
        <v>2863</v>
      </c>
      <c r="C1536" t="s">
        <v>3437</v>
      </c>
      <c r="D1536" t="s">
        <v>643</v>
      </c>
      <c r="E1536" t="s">
        <v>51</v>
      </c>
      <c r="F1536" t="s">
        <v>3438</v>
      </c>
      <c r="G1536" t="str">
        <f>"201511034877"</f>
        <v>201511034877</v>
      </c>
      <c r="H1536">
        <v>14.4</v>
      </c>
      <c r="I1536">
        <v>0</v>
      </c>
      <c r="J1536">
        <v>8</v>
      </c>
      <c r="M1536">
        <v>4</v>
      </c>
      <c r="N1536">
        <v>8</v>
      </c>
      <c r="O1536">
        <v>0</v>
      </c>
      <c r="P1536">
        <v>26.4</v>
      </c>
      <c r="Q1536">
        <v>26</v>
      </c>
      <c r="R1536">
        <v>26</v>
      </c>
      <c r="S1536">
        <v>0</v>
      </c>
      <c r="T1536">
        <v>0</v>
      </c>
      <c r="U1536" s="1">
        <v>0</v>
      </c>
      <c r="V1536">
        <v>52.4</v>
      </c>
    </row>
    <row r="1537" spans="1:22" ht="15">
      <c r="A1537" s="4">
        <v>1530</v>
      </c>
      <c r="B1537">
        <v>2959</v>
      </c>
      <c r="C1537" t="s">
        <v>3439</v>
      </c>
      <c r="D1537" t="s">
        <v>480</v>
      </c>
      <c r="E1537" t="s">
        <v>73</v>
      </c>
      <c r="F1537" t="s">
        <v>3440</v>
      </c>
      <c r="G1537" t="str">
        <f>"00531087"</f>
        <v>00531087</v>
      </c>
      <c r="H1537">
        <v>16.32</v>
      </c>
      <c r="I1537">
        <v>0</v>
      </c>
      <c r="M1537">
        <v>0</v>
      </c>
      <c r="N1537">
        <v>0</v>
      </c>
      <c r="O1537">
        <v>0</v>
      </c>
      <c r="P1537">
        <v>16.32</v>
      </c>
      <c r="Q1537">
        <v>27</v>
      </c>
      <c r="R1537">
        <v>27</v>
      </c>
      <c r="S1537">
        <v>9</v>
      </c>
      <c r="T1537">
        <v>0</v>
      </c>
      <c r="U1537" s="1">
        <v>0</v>
      </c>
      <c r="V1537">
        <v>52.32</v>
      </c>
    </row>
    <row r="1538" spans="1:22" ht="15">
      <c r="A1538" s="4">
        <v>1531</v>
      </c>
      <c r="B1538">
        <v>2071</v>
      </c>
      <c r="C1538" t="s">
        <v>957</v>
      </c>
      <c r="D1538" t="s">
        <v>102</v>
      </c>
      <c r="E1538" t="s">
        <v>73</v>
      </c>
      <c r="F1538" t="s">
        <v>3441</v>
      </c>
      <c r="G1538" t="str">
        <f>"201604000323"</f>
        <v>201604000323</v>
      </c>
      <c r="H1538">
        <v>24.32</v>
      </c>
      <c r="I1538">
        <v>10</v>
      </c>
      <c r="M1538">
        <v>4</v>
      </c>
      <c r="N1538">
        <v>0</v>
      </c>
      <c r="O1538">
        <v>0</v>
      </c>
      <c r="P1538">
        <v>38.32</v>
      </c>
      <c r="Q1538">
        <v>8</v>
      </c>
      <c r="R1538">
        <v>8</v>
      </c>
      <c r="S1538">
        <v>6</v>
      </c>
      <c r="T1538">
        <v>0</v>
      </c>
      <c r="U1538" s="1">
        <v>0</v>
      </c>
      <c r="V1538">
        <v>52.32</v>
      </c>
    </row>
    <row r="1539" spans="1:22" ht="15">
      <c r="A1539" s="4">
        <v>1532</v>
      </c>
      <c r="B1539">
        <v>50</v>
      </c>
      <c r="C1539" t="s">
        <v>3442</v>
      </c>
      <c r="D1539" t="s">
        <v>121</v>
      </c>
      <c r="E1539" t="s">
        <v>90</v>
      </c>
      <c r="F1539" t="s">
        <v>3443</v>
      </c>
      <c r="G1539" t="str">
        <f>"00471988"</f>
        <v>00471988</v>
      </c>
      <c r="H1539">
        <v>32.28</v>
      </c>
      <c r="I1539">
        <v>0</v>
      </c>
      <c r="L1539">
        <v>4</v>
      </c>
      <c r="M1539">
        <v>4</v>
      </c>
      <c r="N1539">
        <v>4</v>
      </c>
      <c r="O1539">
        <v>0</v>
      </c>
      <c r="P1539">
        <v>40.28</v>
      </c>
      <c r="Q1539">
        <v>6</v>
      </c>
      <c r="R1539">
        <v>6</v>
      </c>
      <c r="S1539">
        <v>6</v>
      </c>
      <c r="T1539">
        <v>0</v>
      </c>
      <c r="U1539" s="1">
        <v>0</v>
      </c>
      <c r="V1539">
        <v>52.28</v>
      </c>
    </row>
    <row r="1540" spans="1:22" ht="15">
      <c r="A1540" s="4">
        <v>1533</v>
      </c>
      <c r="B1540">
        <v>1547</v>
      </c>
      <c r="C1540" t="s">
        <v>1606</v>
      </c>
      <c r="D1540" t="s">
        <v>127</v>
      </c>
      <c r="E1540" t="s">
        <v>90</v>
      </c>
      <c r="F1540" t="s">
        <v>3444</v>
      </c>
      <c r="G1540" t="str">
        <f>"00027962"</f>
        <v>00027962</v>
      </c>
      <c r="H1540">
        <v>35.2</v>
      </c>
      <c r="I1540">
        <v>10</v>
      </c>
      <c r="M1540">
        <v>4</v>
      </c>
      <c r="N1540">
        <v>0</v>
      </c>
      <c r="O1540">
        <v>0</v>
      </c>
      <c r="P1540">
        <v>49.2</v>
      </c>
      <c r="Q1540">
        <v>0</v>
      </c>
      <c r="R1540">
        <v>0</v>
      </c>
      <c r="S1540">
        <v>3</v>
      </c>
      <c r="T1540">
        <v>0</v>
      </c>
      <c r="U1540" s="1">
        <v>0</v>
      </c>
      <c r="V1540">
        <v>52.2</v>
      </c>
    </row>
    <row r="1541" spans="1:22" ht="15">
      <c r="A1541" s="4">
        <v>1534</v>
      </c>
      <c r="B1541">
        <v>341</v>
      </c>
      <c r="C1541" t="s">
        <v>3445</v>
      </c>
      <c r="D1541" t="s">
        <v>68</v>
      </c>
      <c r="E1541" t="s">
        <v>15</v>
      </c>
      <c r="F1541" t="s">
        <v>3446</v>
      </c>
      <c r="G1541" t="str">
        <f>"00515968"</f>
        <v>00515968</v>
      </c>
      <c r="H1541">
        <v>7.2</v>
      </c>
      <c r="I1541">
        <v>0</v>
      </c>
      <c r="L1541">
        <v>4</v>
      </c>
      <c r="M1541">
        <v>4</v>
      </c>
      <c r="N1541">
        <v>4</v>
      </c>
      <c r="O1541">
        <v>0</v>
      </c>
      <c r="P1541">
        <v>15.2</v>
      </c>
      <c r="Q1541">
        <v>37</v>
      </c>
      <c r="R1541">
        <v>37</v>
      </c>
      <c r="S1541">
        <v>0</v>
      </c>
      <c r="T1541">
        <v>0</v>
      </c>
      <c r="U1541" s="1">
        <v>0</v>
      </c>
      <c r="V1541">
        <v>52.2</v>
      </c>
    </row>
    <row r="1542" spans="1:22" ht="15">
      <c r="A1542" s="4">
        <v>1535</v>
      </c>
      <c r="B1542">
        <v>1482</v>
      </c>
      <c r="C1542" t="s">
        <v>96</v>
      </c>
      <c r="D1542" t="s">
        <v>357</v>
      </c>
      <c r="E1542" t="s">
        <v>69</v>
      </c>
      <c r="F1542" t="s">
        <v>3447</v>
      </c>
      <c r="G1542" t="str">
        <f>"200802003677"</f>
        <v>200802003677</v>
      </c>
      <c r="H1542">
        <v>43.2</v>
      </c>
      <c r="I1542">
        <v>0</v>
      </c>
      <c r="L1542">
        <v>4</v>
      </c>
      <c r="M1542">
        <v>4</v>
      </c>
      <c r="N1542">
        <v>4</v>
      </c>
      <c r="O1542">
        <v>0</v>
      </c>
      <c r="P1542">
        <v>51.2</v>
      </c>
      <c r="Q1542">
        <v>1</v>
      </c>
      <c r="R1542">
        <v>1</v>
      </c>
      <c r="S1542">
        <v>0</v>
      </c>
      <c r="T1542">
        <v>0</v>
      </c>
      <c r="U1542" s="1">
        <v>0</v>
      </c>
      <c r="V1542">
        <v>52.2</v>
      </c>
    </row>
    <row r="1543" spans="1:22" ht="15">
      <c r="A1543" s="4">
        <v>1536</v>
      </c>
      <c r="B1543">
        <v>393</v>
      </c>
      <c r="C1543" t="s">
        <v>3448</v>
      </c>
      <c r="D1543" t="s">
        <v>76</v>
      </c>
      <c r="E1543" t="s">
        <v>112</v>
      </c>
      <c r="F1543" t="s">
        <v>3449</v>
      </c>
      <c r="G1543" t="str">
        <f>"201406018756"</f>
        <v>201406018756</v>
      </c>
      <c r="H1543">
        <v>27.16</v>
      </c>
      <c r="I1543">
        <v>0</v>
      </c>
      <c r="J1543">
        <v>8</v>
      </c>
      <c r="M1543">
        <v>4</v>
      </c>
      <c r="N1543">
        <v>8</v>
      </c>
      <c r="O1543">
        <v>0</v>
      </c>
      <c r="P1543">
        <v>39.16</v>
      </c>
      <c r="Q1543">
        <v>13</v>
      </c>
      <c r="R1543">
        <v>13</v>
      </c>
      <c r="S1543">
        <v>0</v>
      </c>
      <c r="T1543">
        <v>0</v>
      </c>
      <c r="U1543" s="1">
        <v>0</v>
      </c>
      <c r="V1543">
        <v>52.16</v>
      </c>
    </row>
    <row r="1544" spans="1:22" ht="15">
      <c r="A1544" s="4">
        <v>1537</v>
      </c>
      <c r="B1544">
        <v>974</v>
      </c>
      <c r="C1544" t="s">
        <v>3450</v>
      </c>
      <c r="D1544" t="s">
        <v>3451</v>
      </c>
      <c r="E1544" t="s">
        <v>23</v>
      </c>
      <c r="F1544" t="s">
        <v>3452</v>
      </c>
      <c r="G1544" t="str">
        <f>"00188380"</f>
        <v>00188380</v>
      </c>
      <c r="H1544">
        <v>21.16</v>
      </c>
      <c r="I1544">
        <v>0</v>
      </c>
      <c r="M1544">
        <v>4</v>
      </c>
      <c r="N1544">
        <v>0</v>
      </c>
      <c r="O1544">
        <v>0</v>
      </c>
      <c r="P1544">
        <v>25.16</v>
      </c>
      <c r="Q1544">
        <v>24</v>
      </c>
      <c r="R1544">
        <v>24</v>
      </c>
      <c r="S1544">
        <v>3</v>
      </c>
      <c r="T1544">
        <v>0</v>
      </c>
      <c r="U1544" s="1">
        <v>0</v>
      </c>
      <c r="V1544">
        <v>52.16</v>
      </c>
    </row>
    <row r="1545" spans="1:22" ht="15">
      <c r="A1545" s="4">
        <v>1538</v>
      </c>
      <c r="B1545">
        <v>3234</v>
      </c>
      <c r="C1545" t="s">
        <v>3453</v>
      </c>
      <c r="D1545" t="s">
        <v>3454</v>
      </c>
      <c r="E1545" t="s">
        <v>41</v>
      </c>
      <c r="F1545" t="s">
        <v>3455</v>
      </c>
      <c r="G1545" t="str">
        <f>"00507062"</f>
        <v>00507062</v>
      </c>
      <c r="H1545">
        <v>39.16</v>
      </c>
      <c r="I1545">
        <v>0</v>
      </c>
      <c r="M1545">
        <v>4</v>
      </c>
      <c r="N1545">
        <v>0</v>
      </c>
      <c r="O1545">
        <v>0</v>
      </c>
      <c r="P1545">
        <v>43.16</v>
      </c>
      <c r="Q1545">
        <v>0</v>
      </c>
      <c r="R1545">
        <v>0</v>
      </c>
      <c r="S1545">
        <v>9</v>
      </c>
      <c r="T1545">
        <v>0</v>
      </c>
      <c r="U1545" s="1">
        <v>0</v>
      </c>
      <c r="V1545">
        <v>52.16</v>
      </c>
    </row>
    <row r="1546" spans="1:22" ht="15">
      <c r="A1546" s="4">
        <v>1539</v>
      </c>
      <c r="B1546">
        <v>750</v>
      </c>
      <c r="C1546" t="s">
        <v>3456</v>
      </c>
      <c r="D1546" t="s">
        <v>3457</v>
      </c>
      <c r="E1546" t="s">
        <v>59</v>
      </c>
      <c r="F1546" t="s">
        <v>3458</v>
      </c>
      <c r="G1546" t="str">
        <f>"00362448"</f>
        <v>00362448</v>
      </c>
      <c r="H1546">
        <v>38</v>
      </c>
      <c r="I1546">
        <v>0</v>
      </c>
      <c r="L1546">
        <v>8</v>
      </c>
      <c r="M1546">
        <v>4</v>
      </c>
      <c r="N1546">
        <v>8</v>
      </c>
      <c r="O1546">
        <v>2</v>
      </c>
      <c r="P1546">
        <v>52</v>
      </c>
      <c r="Q1546">
        <v>0</v>
      </c>
      <c r="R1546">
        <v>0</v>
      </c>
      <c r="S1546">
        <v>0</v>
      </c>
      <c r="T1546">
        <v>0</v>
      </c>
      <c r="U1546" s="1">
        <v>0</v>
      </c>
      <c r="V1546">
        <v>52</v>
      </c>
    </row>
    <row r="1547" spans="1:22" ht="15">
      <c r="A1547" s="4">
        <v>1540</v>
      </c>
      <c r="B1547">
        <v>2200</v>
      </c>
      <c r="C1547" t="s">
        <v>3459</v>
      </c>
      <c r="D1547" t="s">
        <v>156</v>
      </c>
      <c r="E1547" t="s">
        <v>344</v>
      </c>
      <c r="F1547" t="s">
        <v>3460</v>
      </c>
      <c r="G1547" t="str">
        <f>"00170691"</f>
        <v>00170691</v>
      </c>
      <c r="H1547">
        <v>36</v>
      </c>
      <c r="I1547">
        <v>0</v>
      </c>
      <c r="L1547">
        <v>4</v>
      </c>
      <c r="M1547">
        <v>4</v>
      </c>
      <c r="N1547">
        <v>4</v>
      </c>
      <c r="O1547">
        <v>2</v>
      </c>
      <c r="P1547">
        <v>46</v>
      </c>
      <c r="Q1547">
        <v>6</v>
      </c>
      <c r="R1547">
        <v>6</v>
      </c>
      <c r="S1547">
        <v>0</v>
      </c>
      <c r="T1547">
        <v>0</v>
      </c>
      <c r="U1547" s="1">
        <v>0</v>
      </c>
      <c r="V1547">
        <v>52</v>
      </c>
    </row>
    <row r="1548" spans="1:22" ht="15">
      <c r="A1548" s="4">
        <v>1541</v>
      </c>
      <c r="B1548">
        <v>2216</v>
      </c>
      <c r="C1548" t="s">
        <v>3461</v>
      </c>
      <c r="D1548" t="s">
        <v>3462</v>
      </c>
      <c r="E1548" t="s">
        <v>51</v>
      </c>
      <c r="F1548" t="s">
        <v>3463</v>
      </c>
      <c r="G1548" t="str">
        <f>"00499232"</f>
        <v>00499232</v>
      </c>
      <c r="H1548">
        <v>40</v>
      </c>
      <c r="I1548">
        <v>0</v>
      </c>
      <c r="J1548">
        <v>8</v>
      </c>
      <c r="M1548">
        <v>4</v>
      </c>
      <c r="N1548">
        <v>8</v>
      </c>
      <c r="O1548">
        <v>0</v>
      </c>
      <c r="P1548">
        <v>52</v>
      </c>
      <c r="Q1548">
        <v>0</v>
      </c>
      <c r="R1548">
        <v>0</v>
      </c>
      <c r="S1548">
        <v>0</v>
      </c>
      <c r="T1548">
        <v>0</v>
      </c>
      <c r="U1548" s="1" t="s">
        <v>6251</v>
      </c>
      <c r="V1548">
        <v>52</v>
      </c>
    </row>
    <row r="1549" spans="1:22" ht="15">
      <c r="A1549" s="4">
        <v>1542</v>
      </c>
      <c r="B1549">
        <v>532</v>
      </c>
      <c r="C1549" t="s">
        <v>3464</v>
      </c>
      <c r="D1549" t="s">
        <v>3465</v>
      </c>
      <c r="E1549" t="s">
        <v>19</v>
      </c>
      <c r="F1549" t="s">
        <v>3466</v>
      </c>
      <c r="G1549" t="str">
        <f>"00016580"</f>
        <v>00016580</v>
      </c>
      <c r="H1549">
        <v>38</v>
      </c>
      <c r="I1549">
        <v>10</v>
      </c>
      <c r="M1549">
        <v>4</v>
      </c>
      <c r="N1549">
        <v>0</v>
      </c>
      <c r="O1549">
        <v>0</v>
      </c>
      <c r="P1549">
        <v>52</v>
      </c>
      <c r="Q1549">
        <v>0</v>
      </c>
      <c r="R1549">
        <v>0</v>
      </c>
      <c r="S1549">
        <v>0</v>
      </c>
      <c r="T1549">
        <v>0</v>
      </c>
      <c r="U1549" s="1">
        <v>0</v>
      </c>
      <c r="V1549">
        <v>52</v>
      </c>
    </row>
    <row r="1550" spans="1:22" ht="15">
      <c r="A1550" s="4">
        <v>1543</v>
      </c>
      <c r="B1550">
        <v>1011</v>
      </c>
      <c r="C1550" t="s">
        <v>881</v>
      </c>
      <c r="D1550" t="s">
        <v>179</v>
      </c>
      <c r="E1550" t="s">
        <v>3467</v>
      </c>
      <c r="F1550" t="s">
        <v>3468</v>
      </c>
      <c r="G1550" t="str">
        <f>"00476104"</f>
        <v>00476104</v>
      </c>
      <c r="H1550">
        <v>36</v>
      </c>
      <c r="I1550">
        <v>0</v>
      </c>
      <c r="L1550">
        <v>4</v>
      </c>
      <c r="M1550">
        <v>4</v>
      </c>
      <c r="N1550">
        <v>4</v>
      </c>
      <c r="O1550">
        <v>2</v>
      </c>
      <c r="P1550">
        <v>46</v>
      </c>
      <c r="Q1550">
        <v>6</v>
      </c>
      <c r="R1550">
        <v>6</v>
      </c>
      <c r="S1550">
        <v>0</v>
      </c>
      <c r="T1550">
        <v>0</v>
      </c>
      <c r="U1550" s="1">
        <v>0</v>
      </c>
      <c r="V1550">
        <v>52</v>
      </c>
    </row>
    <row r="1551" spans="1:22" ht="15">
      <c r="A1551" s="4">
        <v>1544</v>
      </c>
      <c r="B1551">
        <v>1826</v>
      </c>
      <c r="C1551" t="s">
        <v>101</v>
      </c>
      <c r="D1551" t="s">
        <v>319</v>
      </c>
      <c r="E1551" t="s">
        <v>83</v>
      </c>
      <c r="F1551" t="s">
        <v>3469</v>
      </c>
      <c r="G1551" t="str">
        <f>"00519505"</f>
        <v>00519505</v>
      </c>
      <c r="H1551">
        <v>26</v>
      </c>
      <c r="I1551">
        <v>10</v>
      </c>
      <c r="M1551">
        <v>4</v>
      </c>
      <c r="N1551">
        <v>0</v>
      </c>
      <c r="O1551">
        <v>0</v>
      </c>
      <c r="P1551">
        <v>40</v>
      </c>
      <c r="Q1551">
        <v>6</v>
      </c>
      <c r="R1551">
        <v>6</v>
      </c>
      <c r="S1551">
        <v>6</v>
      </c>
      <c r="T1551">
        <v>0</v>
      </c>
      <c r="U1551" s="1">
        <v>0</v>
      </c>
      <c r="V1551">
        <v>52</v>
      </c>
    </row>
    <row r="1552" spans="1:22" ht="15">
      <c r="A1552" s="4">
        <v>1545</v>
      </c>
      <c r="B1552">
        <v>2152</v>
      </c>
      <c r="C1552" t="s">
        <v>3470</v>
      </c>
      <c r="D1552" t="s">
        <v>73</v>
      </c>
      <c r="E1552" t="s">
        <v>11</v>
      </c>
      <c r="F1552" t="s">
        <v>3471</v>
      </c>
      <c r="G1552" t="str">
        <f>"00511112"</f>
        <v>00511112</v>
      </c>
      <c r="H1552">
        <v>0</v>
      </c>
      <c r="I1552">
        <v>0</v>
      </c>
      <c r="M1552">
        <v>0</v>
      </c>
      <c r="N1552">
        <v>0</v>
      </c>
      <c r="O1552">
        <v>0</v>
      </c>
      <c r="P1552">
        <v>0</v>
      </c>
      <c r="Q1552">
        <v>52</v>
      </c>
      <c r="R1552">
        <v>52</v>
      </c>
      <c r="S1552">
        <v>0</v>
      </c>
      <c r="T1552">
        <v>0</v>
      </c>
      <c r="U1552" s="1" t="s">
        <v>6251</v>
      </c>
      <c r="V1552">
        <v>52</v>
      </c>
    </row>
    <row r="1553" spans="1:22" ht="15">
      <c r="A1553" s="4">
        <v>1546</v>
      </c>
      <c r="B1553">
        <v>202</v>
      </c>
      <c r="C1553" t="s">
        <v>3472</v>
      </c>
      <c r="D1553" t="s">
        <v>3473</v>
      </c>
      <c r="E1553" t="s">
        <v>3474</v>
      </c>
      <c r="F1553" t="s">
        <v>3475</v>
      </c>
      <c r="G1553" t="str">
        <f>"00507547"</f>
        <v>00507547</v>
      </c>
      <c r="H1553">
        <v>40</v>
      </c>
      <c r="I1553">
        <v>0</v>
      </c>
      <c r="K1553">
        <v>6</v>
      </c>
      <c r="M1553">
        <v>4</v>
      </c>
      <c r="N1553">
        <v>6</v>
      </c>
      <c r="O1553">
        <v>2</v>
      </c>
      <c r="P1553">
        <v>52</v>
      </c>
      <c r="Q1553">
        <v>0</v>
      </c>
      <c r="R1553">
        <v>0</v>
      </c>
      <c r="S1553">
        <v>0</v>
      </c>
      <c r="T1553">
        <v>0</v>
      </c>
      <c r="U1553" s="1">
        <v>0</v>
      </c>
      <c r="V1553">
        <v>52</v>
      </c>
    </row>
    <row r="1554" spans="1:22" ht="15">
      <c r="A1554" s="4">
        <v>1547</v>
      </c>
      <c r="B1554">
        <v>849</v>
      </c>
      <c r="C1554" t="s">
        <v>3476</v>
      </c>
      <c r="D1554" t="s">
        <v>29</v>
      </c>
      <c r="E1554" t="s">
        <v>197</v>
      </c>
      <c r="F1554" t="s">
        <v>3477</v>
      </c>
      <c r="G1554" t="str">
        <f>"00376919"</f>
        <v>00376919</v>
      </c>
      <c r="H1554">
        <v>30.92</v>
      </c>
      <c r="I1554">
        <v>0</v>
      </c>
      <c r="M1554">
        <v>4</v>
      </c>
      <c r="N1554">
        <v>0</v>
      </c>
      <c r="O1554">
        <v>0</v>
      </c>
      <c r="P1554">
        <v>34.92</v>
      </c>
      <c r="Q1554">
        <v>8</v>
      </c>
      <c r="R1554">
        <v>8</v>
      </c>
      <c r="S1554">
        <v>9</v>
      </c>
      <c r="T1554">
        <v>0</v>
      </c>
      <c r="U1554" s="1">
        <v>0</v>
      </c>
      <c r="V1554">
        <v>51.92</v>
      </c>
    </row>
    <row r="1555" spans="1:22" ht="15">
      <c r="A1555" s="4">
        <v>1548</v>
      </c>
      <c r="B1555">
        <v>2091</v>
      </c>
      <c r="C1555" t="s">
        <v>3478</v>
      </c>
      <c r="D1555" t="s">
        <v>179</v>
      </c>
      <c r="E1555" t="s">
        <v>157</v>
      </c>
      <c r="F1555" t="s">
        <v>3479</v>
      </c>
      <c r="G1555" t="str">
        <f>"00523077"</f>
        <v>00523077</v>
      </c>
      <c r="H1555">
        <v>36.8</v>
      </c>
      <c r="I1555">
        <v>0</v>
      </c>
      <c r="M1555">
        <v>0</v>
      </c>
      <c r="N1555">
        <v>0</v>
      </c>
      <c r="O1555">
        <v>0</v>
      </c>
      <c r="P1555">
        <v>36.8</v>
      </c>
      <c r="Q1555">
        <v>15</v>
      </c>
      <c r="R1555">
        <v>15</v>
      </c>
      <c r="S1555">
        <v>0</v>
      </c>
      <c r="T1555">
        <v>0</v>
      </c>
      <c r="U1555" s="1">
        <v>0</v>
      </c>
      <c r="V1555">
        <v>51.8</v>
      </c>
    </row>
    <row r="1556" spans="1:22" ht="15">
      <c r="A1556" s="4">
        <v>1549</v>
      </c>
      <c r="B1556">
        <v>1543</v>
      </c>
      <c r="C1556" t="s">
        <v>3480</v>
      </c>
      <c r="D1556" t="s">
        <v>130</v>
      </c>
      <c r="E1556" t="s">
        <v>51</v>
      </c>
      <c r="F1556" t="s">
        <v>3481</v>
      </c>
      <c r="G1556" t="str">
        <f>"00528029"</f>
        <v>00528029</v>
      </c>
      <c r="H1556">
        <v>38.8</v>
      </c>
      <c r="I1556">
        <v>0</v>
      </c>
      <c r="M1556">
        <v>4</v>
      </c>
      <c r="N1556">
        <v>0</v>
      </c>
      <c r="O1556">
        <v>2</v>
      </c>
      <c r="P1556">
        <v>44.8</v>
      </c>
      <c r="Q1556">
        <v>7</v>
      </c>
      <c r="R1556">
        <v>7</v>
      </c>
      <c r="S1556">
        <v>0</v>
      </c>
      <c r="T1556">
        <v>0</v>
      </c>
      <c r="U1556" s="1">
        <v>0</v>
      </c>
      <c r="V1556">
        <v>51.8</v>
      </c>
    </row>
    <row r="1557" spans="1:22" ht="15">
      <c r="A1557" s="4">
        <v>1550</v>
      </c>
      <c r="B1557">
        <v>3443</v>
      </c>
      <c r="C1557" t="s">
        <v>3482</v>
      </c>
      <c r="D1557" t="s">
        <v>211</v>
      </c>
      <c r="E1557" t="s">
        <v>30</v>
      </c>
      <c r="F1557" t="s">
        <v>3483</v>
      </c>
      <c r="G1557" t="str">
        <f>"00224221"</f>
        <v>00224221</v>
      </c>
      <c r="H1557">
        <v>28.72</v>
      </c>
      <c r="I1557">
        <v>0</v>
      </c>
      <c r="L1557">
        <v>4</v>
      </c>
      <c r="M1557">
        <v>4</v>
      </c>
      <c r="N1557">
        <v>4</v>
      </c>
      <c r="O1557">
        <v>0</v>
      </c>
      <c r="P1557">
        <v>36.72</v>
      </c>
      <c r="Q1557">
        <v>12</v>
      </c>
      <c r="R1557">
        <v>12</v>
      </c>
      <c r="S1557">
        <v>3</v>
      </c>
      <c r="T1557">
        <v>0</v>
      </c>
      <c r="U1557" s="1">
        <v>0</v>
      </c>
      <c r="V1557">
        <v>51.72</v>
      </c>
    </row>
    <row r="1558" spans="1:22" ht="15">
      <c r="A1558" s="4">
        <v>1551</v>
      </c>
      <c r="B1558">
        <v>385</v>
      </c>
      <c r="C1558" t="s">
        <v>3484</v>
      </c>
      <c r="D1558" t="s">
        <v>3485</v>
      </c>
      <c r="E1558" t="s">
        <v>99</v>
      </c>
      <c r="F1558" t="s">
        <v>3486</v>
      </c>
      <c r="G1558" t="str">
        <f>"00493728"</f>
        <v>00493728</v>
      </c>
      <c r="H1558">
        <v>31.72</v>
      </c>
      <c r="I1558">
        <v>10</v>
      </c>
      <c r="M1558">
        <v>4</v>
      </c>
      <c r="N1558">
        <v>0</v>
      </c>
      <c r="O1558">
        <v>0</v>
      </c>
      <c r="P1558">
        <v>45.72</v>
      </c>
      <c r="Q1558">
        <v>0</v>
      </c>
      <c r="R1558">
        <v>0</v>
      </c>
      <c r="S1558">
        <v>6</v>
      </c>
      <c r="T1558">
        <v>0</v>
      </c>
      <c r="U1558" s="1">
        <v>0</v>
      </c>
      <c r="V1558">
        <v>51.72</v>
      </c>
    </row>
    <row r="1559" spans="1:22" ht="15">
      <c r="A1559" s="4">
        <v>1552</v>
      </c>
      <c r="B1559">
        <v>2090</v>
      </c>
      <c r="C1559" t="s">
        <v>3487</v>
      </c>
      <c r="D1559" t="s">
        <v>3488</v>
      </c>
      <c r="E1559" t="s">
        <v>30</v>
      </c>
      <c r="F1559" t="s">
        <v>3489</v>
      </c>
      <c r="G1559" t="str">
        <f>"00532012"</f>
        <v>00532012</v>
      </c>
      <c r="H1559">
        <v>10.92</v>
      </c>
      <c r="I1559">
        <v>0</v>
      </c>
      <c r="M1559">
        <v>0</v>
      </c>
      <c r="N1559">
        <v>0</v>
      </c>
      <c r="O1559">
        <v>0</v>
      </c>
      <c r="P1559">
        <v>10.92</v>
      </c>
      <c r="Q1559">
        <v>8</v>
      </c>
      <c r="R1559">
        <v>8</v>
      </c>
      <c r="S1559">
        <v>6</v>
      </c>
      <c r="T1559">
        <v>26.8</v>
      </c>
      <c r="U1559" s="1">
        <v>0</v>
      </c>
      <c r="V1559">
        <v>51.72</v>
      </c>
    </row>
    <row r="1560" spans="1:22" ht="15">
      <c r="A1560" s="4">
        <v>1553</v>
      </c>
      <c r="B1560">
        <v>636</v>
      </c>
      <c r="C1560" t="s">
        <v>3490</v>
      </c>
      <c r="D1560" t="s">
        <v>799</v>
      </c>
      <c r="E1560" t="s">
        <v>2470</v>
      </c>
      <c r="F1560" t="s">
        <v>3491</v>
      </c>
      <c r="G1560" t="str">
        <f>"00511930"</f>
        <v>00511930</v>
      </c>
      <c r="H1560">
        <v>39.6</v>
      </c>
      <c r="I1560">
        <v>0</v>
      </c>
      <c r="J1560">
        <v>8</v>
      </c>
      <c r="M1560">
        <v>4</v>
      </c>
      <c r="N1560">
        <v>8</v>
      </c>
      <c r="O1560">
        <v>0</v>
      </c>
      <c r="P1560">
        <v>51.6</v>
      </c>
      <c r="Q1560">
        <v>0</v>
      </c>
      <c r="R1560">
        <v>0</v>
      </c>
      <c r="S1560">
        <v>0</v>
      </c>
      <c r="T1560">
        <v>0</v>
      </c>
      <c r="U1560" s="1">
        <v>0</v>
      </c>
      <c r="V1560">
        <v>51.6</v>
      </c>
    </row>
    <row r="1561" spans="1:22" ht="15">
      <c r="A1561" s="4">
        <v>1554</v>
      </c>
      <c r="B1561">
        <v>2518</v>
      </c>
      <c r="C1561" t="s">
        <v>3492</v>
      </c>
      <c r="D1561" t="s">
        <v>3493</v>
      </c>
      <c r="E1561" t="s">
        <v>83</v>
      </c>
      <c r="F1561" t="s">
        <v>3494</v>
      </c>
      <c r="G1561" t="str">
        <f>"00441614"</f>
        <v>00441614</v>
      </c>
      <c r="H1561">
        <v>21.6</v>
      </c>
      <c r="I1561">
        <v>10</v>
      </c>
      <c r="M1561">
        <v>0</v>
      </c>
      <c r="N1561">
        <v>0</v>
      </c>
      <c r="O1561">
        <v>2</v>
      </c>
      <c r="P1561">
        <v>33.6</v>
      </c>
      <c r="Q1561">
        <v>12</v>
      </c>
      <c r="R1561">
        <v>12</v>
      </c>
      <c r="S1561">
        <v>6</v>
      </c>
      <c r="T1561">
        <v>0</v>
      </c>
      <c r="U1561" s="1">
        <v>0</v>
      </c>
      <c r="V1561">
        <v>51.6</v>
      </c>
    </row>
    <row r="1562" spans="1:22" ht="15">
      <c r="A1562" s="4">
        <v>1555</v>
      </c>
      <c r="B1562">
        <v>740</v>
      </c>
      <c r="C1562" t="s">
        <v>3495</v>
      </c>
      <c r="D1562" t="s">
        <v>160</v>
      </c>
      <c r="E1562" t="s">
        <v>112</v>
      </c>
      <c r="F1562" t="s">
        <v>3496</v>
      </c>
      <c r="G1562" t="str">
        <f>"201511015424"</f>
        <v>201511015424</v>
      </c>
      <c r="H1562">
        <v>33.6</v>
      </c>
      <c r="I1562">
        <v>0</v>
      </c>
      <c r="M1562">
        <v>4</v>
      </c>
      <c r="N1562">
        <v>0</v>
      </c>
      <c r="O1562">
        <v>0</v>
      </c>
      <c r="P1562">
        <v>37.6</v>
      </c>
      <c r="Q1562">
        <v>14</v>
      </c>
      <c r="R1562">
        <v>14</v>
      </c>
      <c r="S1562">
        <v>0</v>
      </c>
      <c r="T1562">
        <v>0</v>
      </c>
      <c r="U1562" s="1">
        <v>0</v>
      </c>
      <c r="V1562">
        <v>51.6</v>
      </c>
    </row>
    <row r="1563" spans="1:22" ht="15">
      <c r="A1563" s="4">
        <v>1556</v>
      </c>
      <c r="B1563">
        <v>1534</v>
      </c>
      <c r="C1563" t="s">
        <v>3497</v>
      </c>
      <c r="D1563" t="s">
        <v>121</v>
      </c>
      <c r="E1563" t="s">
        <v>3358</v>
      </c>
      <c r="F1563" t="s">
        <v>3498</v>
      </c>
      <c r="G1563" t="str">
        <f>"00305075"</f>
        <v>00305075</v>
      </c>
      <c r="H1563">
        <v>37.6</v>
      </c>
      <c r="I1563">
        <v>10</v>
      </c>
      <c r="M1563">
        <v>4</v>
      </c>
      <c r="N1563">
        <v>0</v>
      </c>
      <c r="O1563">
        <v>0</v>
      </c>
      <c r="P1563">
        <v>51.6</v>
      </c>
      <c r="Q1563">
        <v>0</v>
      </c>
      <c r="R1563">
        <v>0</v>
      </c>
      <c r="S1563">
        <v>0</v>
      </c>
      <c r="T1563">
        <v>0</v>
      </c>
      <c r="U1563" s="1">
        <v>0</v>
      </c>
      <c r="V1563">
        <v>51.6</v>
      </c>
    </row>
    <row r="1564" spans="1:22" ht="15">
      <c r="A1564" s="4">
        <v>1557</v>
      </c>
      <c r="B1564">
        <v>1350</v>
      </c>
      <c r="C1564" t="s">
        <v>3499</v>
      </c>
      <c r="D1564" t="s">
        <v>14</v>
      </c>
      <c r="E1564" t="s">
        <v>30</v>
      </c>
      <c r="F1564" t="s">
        <v>3500</v>
      </c>
      <c r="G1564" t="str">
        <f>"00163058"</f>
        <v>00163058</v>
      </c>
      <c r="H1564">
        <v>27.52</v>
      </c>
      <c r="I1564">
        <v>10</v>
      </c>
      <c r="M1564">
        <v>0</v>
      </c>
      <c r="N1564">
        <v>0</v>
      </c>
      <c r="O1564">
        <v>0</v>
      </c>
      <c r="P1564">
        <v>37.52</v>
      </c>
      <c r="Q1564">
        <v>14</v>
      </c>
      <c r="R1564">
        <v>14</v>
      </c>
      <c r="S1564">
        <v>0</v>
      </c>
      <c r="T1564">
        <v>0</v>
      </c>
      <c r="U1564" s="1">
        <v>0</v>
      </c>
      <c r="V1564">
        <v>51.52</v>
      </c>
    </row>
    <row r="1565" spans="1:22" ht="15">
      <c r="A1565" s="4">
        <v>1558</v>
      </c>
      <c r="B1565">
        <v>2083</v>
      </c>
      <c r="C1565" t="s">
        <v>3501</v>
      </c>
      <c r="D1565" t="s">
        <v>3502</v>
      </c>
      <c r="E1565" t="s">
        <v>99</v>
      </c>
      <c r="F1565" t="s">
        <v>3503</v>
      </c>
      <c r="G1565" t="str">
        <f>"00410609"</f>
        <v>00410609</v>
      </c>
      <c r="H1565">
        <v>37.44</v>
      </c>
      <c r="I1565">
        <v>0</v>
      </c>
      <c r="L1565">
        <v>4</v>
      </c>
      <c r="M1565">
        <v>4</v>
      </c>
      <c r="N1565">
        <v>4</v>
      </c>
      <c r="O1565">
        <v>0</v>
      </c>
      <c r="P1565">
        <v>45.44</v>
      </c>
      <c r="Q1565">
        <v>0</v>
      </c>
      <c r="R1565">
        <v>0</v>
      </c>
      <c r="S1565">
        <v>6</v>
      </c>
      <c r="T1565">
        <v>0</v>
      </c>
      <c r="U1565" s="1">
        <v>0</v>
      </c>
      <c r="V1565">
        <v>51.44</v>
      </c>
    </row>
    <row r="1566" spans="1:22" ht="15">
      <c r="A1566" s="4">
        <v>1559</v>
      </c>
      <c r="B1566">
        <v>2662</v>
      </c>
      <c r="C1566" t="s">
        <v>3504</v>
      </c>
      <c r="D1566" t="s">
        <v>3505</v>
      </c>
      <c r="E1566" t="s">
        <v>3506</v>
      </c>
      <c r="F1566" t="s">
        <v>3507</v>
      </c>
      <c r="G1566" t="str">
        <f>"00196478"</f>
        <v>00196478</v>
      </c>
      <c r="H1566">
        <v>39.44</v>
      </c>
      <c r="I1566">
        <v>0</v>
      </c>
      <c r="M1566">
        <v>4</v>
      </c>
      <c r="N1566">
        <v>0</v>
      </c>
      <c r="O1566">
        <v>0</v>
      </c>
      <c r="P1566">
        <v>43.44</v>
      </c>
      <c r="Q1566">
        <v>2</v>
      </c>
      <c r="R1566">
        <v>2</v>
      </c>
      <c r="S1566">
        <v>6</v>
      </c>
      <c r="T1566">
        <v>0</v>
      </c>
      <c r="U1566" s="1">
        <v>0</v>
      </c>
      <c r="V1566">
        <v>51.44</v>
      </c>
    </row>
    <row r="1567" spans="1:22" ht="15">
      <c r="A1567" s="4">
        <v>1560</v>
      </c>
      <c r="B1567">
        <v>494</v>
      </c>
      <c r="C1567" t="s">
        <v>3437</v>
      </c>
      <c r="D1567" t="s">
        <v>978</v>
      </c>
      <c r="E1567" t="s">
        <v>73</v>
      </c>
      <c r="F1567" t="s">
        <v>3508</v>
      </c>
      <c r="G1567" t="str">
        <f>"00441891"</f>
        <v>00441891</v>
      </c>
      <c r="H1567">
        <v>14.4</v>
      </c>
      <c r="I1567">
        <v>10</v>
      </c>
      <c r="M1567">
        <v>0</v>
      </c>
      <c r="N1567">
        <v>0</v>
      </c>
      <c r="O1567">
        <v>0</v>
      </c>
      <c r="P1567">
        <v>24.4</v>
      </c>
      <c r="Q1567">
        <v>27</v>
      </c>
      <c r="R1567">
        <v>27</v>
      </c>
      <c r="S1567">
        <v>0</v>
      </c>
      <c r="T1567">
        <v>0</v>
      </c>
      <c r="U1567" s="1">
        <v>0</v>
      </c>
      <c r="V1567">
        <v>51.4</v>
      </c>
    </row>
    <row r="1568" spans="1:22" ht="15">
      <c r="A1568" s="4">
        <v>1561</v>
      </c>
      <c r="B1568">
        <v>3117</v>
      </c>
      <c r="C1568" t="s">
        <v>3509</v>
      </c>
      <c r="D1568" t="s">
        <v>3462</v>
      </c>
      <c r="E1568" t="s">
        <v>738</v>
      </c>
      <c r="F1568" t="s">
        <v>3510</v>
      </c>
      <c r="G1568" t="str">
        <f>"201511004434"</f>
        <v>201511004434</v>
      </c>
      <c r="H1568">
        <v>31.4</v>
      </c>
      <c r="I1568">
        <v>10</v>
      </c>
      <c r="M1568">
        <v>4</v>
      </c>
      <c r="N1568">
        <v>0</v>
      </c>
      <c r="O1568">
        <v>0</v>
      </c>
      <c r="P1568">
        <v>45.4</v>
      </c>
      <c r="Q1568">
        <v>0</v>
      </c>
      <c r="R1568">
        <v>0</v>
      </c>
      <c r="S1568">
        <v>6</v>
      </c>
      <c r="T1568">
        <v>0</v>
      </c>
      <c r="U1568" s="1">
        <v>0</v>
      </c>
      <c r="V1568">
        <v>51.4</v>
      </c>
    </row>
    <row r="1569" spans="1:22" ht="15">
      <c r="A1569" s="4">
        <v>1562</v>
      </c>
      <c r="B1569">
        <v>1380</v>
      </c>
      <c r="C1569" t="s">
        <v>3511</v>
      </c>
      <c r="D1569" t="s">
        <v>222</v>
      </c>
      <c r="E1569" t="s">
        <v>19</v>
      </c>
      <c r="F1569" t="s">
        <v>3512</v>
      </c>
      <c r="G1569" t="str">
        <f>"00531426"</f>
        <v>00531426</v>
      </c>
      <c r="H1569">
        <v>14.4</v>
      </c>
      <c r="I1569">
        <v>0</v>
      </c>
      <c r="L1569">
        <v>4</v>
      </c>
      <c r="M1569">
        <v>0</v>
      </c>
      <c r="N1569">
        <v>4</v>
      </c>
      <c r="O1569">
        <v>0</v>
      </c>
      <c r="P1569">
        <v>18.4</v>
      </c>
      <c r="Q1569">
        <v>33</v>
      </c>
      <c r="R1569">
        <v>33</v>
      </c>
      <c r="S1569">
        <v>0</v>
      </c>
      <c r="T1569">
        <v>0</v>
      </c>
      <c r="U1569" s="1">
        <v>0</v>
      </c>
      <c r="V1569">
        <v>51.4</v>
      </c>
    </row>
    <row r="1570" spans="1:22" ht="15">
      <c r="A1570" s="4">
        <v>1563</v>
      </c>
      <c r="B1570">
        <v>2500</v>
      </c>
      <c r="C1570" t="s">
        <v>3513</v>
      </c>
      <c r="D1570" t="s">
        <v>14</v>
      </c>
      <c r="E1570" t="s">
        <v>73</v>
      </c>
      <c r="F1570" t="s">
        <v>3514</v>
      </c>
      <c r="G1570" t="str">
        <f>"201511029413"</f>
        <v>201511029413</v>
      </c>
      <c r="H1570">
        <v>31.28</v>
      </c>
      <c r="I1570">
        <v>10</v>
      </c>
      <c r="L1570">
        <v>4</v>
      </c>
      <c r="M1570">
        <v>0</v>
      </c>
      <c r="N1570">
        <v>4</v>
      </c>
      <c r="O1570">
        <v>0</v>
      </c>
      <c r="P1570">
        <v>45.28</v>
      </c>
      <c r="Q1570">
        <v>0</v>
      </c>
      <c r="R1570">
        <v>0</v>
      </c>
      <c r="S1570">
        <v>6</v>
      </c>
      <c r="T1570">
        <v>0</v>
      </c>
      <c r="U1570" s="1">
        <v>0</v>
      </c>
      <c r="V1570">
        <v>51.28</v>
      </c>
    </row>
    <row r="1571" spans="1:22" ht="15">
      <c r="A1571" s="4">
        <v>1564</v>
      </c>
      <c r="B1571">
        <v>1240</v>
      </c>
      <c r="C1571" t="s">
        <v>3515</v>
      </c>
      <c r="D1571" t="s">
        <v>3516</v>
      </c>
      <c r="E1571" t="s">
        <v>3517</v>
      </c>
      <c r="F1571" t="s">
        <v>3518</v>
      </c>
      <c r="G1571" t="str">
        <f>"00523885"</f>
        <v>00523885</v>
      </c>
      <c r="H1571">
        <v>43.2</v>
      </c>
      <c r="I1571">
        <v>0</v>
      </c>
      <c r="L1571">
        <v>4</v>
      </c>
      <c r="M1571">
        <v>4</v>
      </c>
      <c r="N1571">
        <v>4</v>
      </c>
      <c r="O1571">
        <v>0</v>
      </c>
      <c r="P1571">
        <v>51.2</v>
      </c>
      <c r="Q1571">
        <v>0</v>
      </c>
      <c r="R1571">
        <v>0</v>
      </c>
      <c r="S1571">
        <v>0</v>
      </c>
      <c r="T1571">
        <v>0</v>
      </c>
      <c r="U1571" s="1">
        <v>0</v>
      </c>
      <c r="V1571">
        <v>51.2</v>
      </c>
    </row>
    <row r="1572" spans="1:22" ht="15">
      <c r="A1572" s="4">
        <v>1565</v>
      </c>
      <c r="B1572">
        <v>1783</v>
      </c>
      <c r="C1572" t="s">
        <v>3519</v>
      </c>
      <c r="D1572" t="s">
        <v>40</v>
      </c>
      <c r="E1572" t="s">
        <v>23</v>
      </c>
      <c r="F1572" t="s">
        <v>3520</v>
      </c>
      <c r="G1572" t="str">
        <f>"00499149"</f>
        <v>00499149</v>
      </c>
      <c r="H1572">
        <v>43.2</v>
      </c>
      <c r="I1572">
        <v>0</v>
      </c>
      <c r="M1572">
        <v>0</v>
      </c>
      <c r="N1572">
        <v>0</v>
      </c>
      <c r="O1572">
        <v>0</v>
      </c>
      <c r="P1572">
        <v>43.2</v>
      </c>
      <c r="Q1572">
        <v>8</v>
      </c>
      <c r="R1572">
        <v>8</v>
      </c>
      <c r="S1572">
        <v>0</v>
      </c>
      <c r="T1572">
        <v>0</v>
      </c>
      <c r="U1572" s="1">
        <v>0</v>
      </c>
      <c r="V1572">
        <v>51.2</v>
      </c>
    </row>
    <row r="1573" spans="1:22" ht="15">
      <c r="A1573" s="4">
        <v>1566</v>
      </c>
      <c r="B1573">
        <v>1272</v>
      </c>
      <c r="C1573" t="s">
        <v>3521</v>
      </c>
      <c r="D1573" t="s">
        <v>3522</v>
      </c>
      <c r="E1573" t="s">
        <v>99</v>
      </c>
      <c r="F1573" t="s">
        <v>3523</v>
      </c>
      <c r="G1573" t="str">
        <f>"00485655"</f>
        <v>00485655</v>
      </c>
      <c r="H1573">
        <v>43.2</v>
      </c>
      <c r="I1573">
        <v>0</v>
      </c>
      <c r="L1573">
        <v>4</v>
      </c>
      <c r="M1573">
        <v>4</v>
      </c>
      <c r="N1573">
        <v>4</v>
      </c>
      <c r="O1573">
        <v>0</v>
      </c>
      <c r="P1573">
        <v>51.2</v>
      </c>
      <c r="Q1573">
        <v>0</v>
      </c>
      <c r="R1573">
        <v>0</v>
      </c>
      <c r="S1573">
        <v>0</v>
      </c>
      <c r="T1573">
        <v>0</v>
      </c>
      <c r="U1573" s="1">
        <v>0</v>
      </c>
      <c r="V1573">
        <v>51.2</v>
      </c>
    </row>
    <row r="1574" spans="1:22" ht="15">
      <c r="A1574" s="4">
        <v>1567</v>
      </c>
      <c r="B1574">
        <v>2956</v>
      </c>
      <c r="C1574" t="s">
        <v>3524</v>
      </c>
      <c r="D1574" t="s">
        <v>493</v>
      </c>
      <c r="E1574" t="s">
        <v>631</v>
      </c>
      <c r="F1574" t="s">
        <v>3525</v>
      </c>
      <c r="G1574" t="str">
        <f>"00531716"</f>
        <v>00531716</v>
      </c>
      <c r="H1574">
        <v>43.2</v>
      </c>
      <c r="I1574">
        <v>0</v>
      </c>
      <c r="L1574">
        <v>4</v>
      </c>
      <c r="M1574">
        <v>4</v>
      </c>
      <c r="N1574">
        <v>4</v>
      </c>
      <c r="O1574">
        <v>0</v>
      </c>
      <c r="P1574">
        <v>51.2</v>
      </c>
      <c r="Q1574">
        <v>0</v>
      </c>
      <c r="R1574">
        <v>0</v>
      </c>
      <c r="S1574">
        <v>0</v>
      </c>
      <c r="T1574">
        <v>0</v>
      </c>
      <c r="U1574" s="1">
        <v>0</v>
      </c>
      <c r="V1574">
        <v>51.2</v>
      </c>
    </row>
    <row r="1575" spans="1:22" ht="15">
      <c r="A1575" s="4">
        <v>1568</v>
      </c>
      <c r="B1575">
        <v>581</v>
      </c>
      <c r="C1575" t="s">
        <v>2858</v>
      </c>
      <c r="D1575" t="s">
        <v>189</v>
      </c>
      <c r="E1575" t="s">
        <v>514</v>
      </c>
      <c r="F1575" t="s">
        <v>3526</v>
      </c>
      <c r="G1575" t="str">
        <f>"00520516"</f>
        <v>00520516</v>
      </c>
      <c r="H1575">
        <v>43.2</v>
      </c>
      <c r="I1575">
        <v>0</v>
      </c>
      <c r="L1575">
        <v>4</v>
      </c>
      <c r="M1575">
        <v>4</v>
      </c>
      <c r="N1575">
        <v>4</v>
      </c>
      <c r="O1575">
        <v>0</v>
      </c>
      <c r="P1575">
        <v>51.2</v>
      </c>
      <c r="Q1575">
        <v>0</v>
      </c>
      <c r="R1575">
        <v>0</v>
      </c>
      <c r="S1575">
        <v>0</v>
      </c>
      <c r="T1575">
        <v>0</v>
      </c>
      <c r="U1575" s="1">
        <v>0</v>
      </c>
      <c r="V1575">
        <v>51.2</v>
      </c>
    </row>
    <row r="1576" spans="1:22" ht="15">
      <c r="A1576" s="4">
        <v>1569</v>
      </c>
      <c r="B1576">
        <v>726</v>
      </c>
      <c r="C1576" t="s">
        <v>2315</v>
      </c>
      <c r="D1576" t="s">
        <v>124</v>
      </c>
      <c r="E1576" t="s">
        <v>364</v>
      </c>
      <c r="F1576" t="s">
        <v>3527</v>
      </c>
      <c r="G1576" t="str">
        <f>"00530680"</f>
        <v>00530680</v>
      </c>
      <c r="H1576">
        <v>43.2</v>
      </c>
      <c r="I1576">
        <v>0</v>
      </c>
      <c r="L1576">
        <v>4</v>
      </c>
      <c r="M1576">
        <v>4</v>
      </c>
      <c r="N1576">
        <v>4</v>
      </c>
      <c r="O1576">
        <v>0</v>
      </c>
      <c r="P1576">
        <v>51.2</v>
      </c>
      <c r="Q1576">
        <v>0</v>
      </c>
      <c r="R1576">
        <v>0</v>
      </c>
      <c r="S1576">
        <v>0</v>
      </c>
      <c r="T1576">
        <v>0</v>
      </c>
      <c r="U1576" s="1">
        <v>0</v>
      </c>
      <c r="V1576">
        <v>51.2</v>
      </c>
    </row>
    <row r="1577" spans="1:22" ht="15">
      <c r="A1577" s="4">
        <v>1570</v>
      </c>
      <c r="B1577">
        <v>1481</v>
      </c>
      <c r="C1577" t="s">
        <v>3528</v>
      </c>
      <c r="D1577" t="s">
        <v>14</v>
      </c>
      <c r="E1577" t="s">
        <v>99</v>
      </c>
      <c r="F1577" t="s">
        <v>3529</v>
      </c>
      <c r="G1577" t="str">
        <f>"00234151"</f>
        <v>00234151</v>
      </c>
      <c r="H1577">
        <v>43.2</v>
      </c>
      <c r="I1577">
        <v>0</v>
      </c>
      <c r="L1577">
        <v>4</v>
      </c>
      <c r="M1577">
        <v>4</v>
      </c>
      <c r="N1577">
        <v>4</v>
      </c>
      <c r="O1577">
        <v>0</v>
      </c>
      <c r="P1577">
        <v>51.2</v>
      </c>
      <c r="Q1577">
        <v>0</v>
      </c>
      <c r="R1577">
        <v>0</v>
      </c>
      <c r="S1577">
        <v>0</v>
      </c>
      <c r="T1577">
        <v>0</v>
      </c>
      <c r="U1577" s="1">
        <v>0</v>
      </c>
      <c r="V1577">
        <v>51.2</v>
      </c>
    </row>
    <row r="1578" spans="1:22" ht="15">
      <c r="A1578" s="4">
        <v>1571</v>
      </c>
      <c r="B1578">
        <v>3009</v>
      </c>
      <c r="C1578" t="s">
        <v>3530</v>
      </c>
      <c r="D1578" t="s">
        <v>40</v>
      </c>
      <c r="E1578" t="s">
        <v>11</v>
      </c>
      <c r="F1578" t="s">
        <v>3531</v>
      </c>
      <c r="G1578" t="str">
        <f>"00533411"</f>
        <v>00533411</v>
      </c>
      <c r="H1578">
        <v>43.2</v>
      </c>
      <c r="I1578">
        <v>0</v>
      </c>
      <c r="L1578">
        <v>4</v>
      </c>
      <c r="M1578">
        <v>4</v>
      </c>
      <c r="N1578">
        <v>4</v>
      </c>
      <c r="O1578">
        <v>0</v>
      </c>
      <c r="P1578">
        <v>51.2</v>
      </c>
      <c r="Q1578">
        <v>0</v>
      </c>
      <c r="R1578">
        <v>0</v>
      </c>
      <c r="S1578">
        <v>0</v>
      </c>
      <c r="T1578">
        <v>0</v>
      </c>
      <c r="U1578" s="1">
        <v>0</v>
      </c>
      <c r="V1578">
        <v>51.2</v>
      </c>
    </row>
    <row r="1579" spans="1:22" ht="15">
      <c r="A1579" s="4">
        <v>1572</v>
      </c>
      <c r="B1579">
        <v>2901</v>
      </c>
      <c r="C1579" t="s">
        <v>3532</v>
      </c>
      <c r="D1579" t="s">
        <v>1006</v>
      </c>
      <c r="E1579" t="s">
        <v>11</v>
      </c>
      <c r="F1579" t="s">
        <v>3533</v>
      </c>
      <c r="G1579" t="str">
        <f>"201604003552"</f>
        <v>201604003552</v>
      </c>
      <c r="H1579">
        <v>43.2</v>
      </c>
      <c r="I1579">
        <v>0</v>
      </c>
      <c r="L1579">
        <v>4</v>
      </c>
      <c r="M1579">
        <v>4</v>
      </c>
      <c r="N1579">
        <v>4</v>
      </c>
      <c r="O1579">
        <v>0</v>
      </c>
      <c r="P1579">
        <v>51.2</v>
      </c>
      <c r="Q1579">
        <v>0</v>
      </c>
      <c r="R1579">
        <v>0</v>
      </c>
      <c r="S1579">
        <v>0</v>
      </c>
      <c r="T1579">
        <v>0</v>
      </c>
      <c r="U1579" s="1">
        <v>0</v>
      </c>
      <c r="V1579">
        <v>51.2</v>
      </c>
    </row>
    <row r="1580" spans="1:22" ht="15">
      <c r="A1580" s="4">
        <v>1573</v>
      </c>
      <c r="B1580">
        <v>130</v>
      </c>
      <c r="C1580" t="s">
        <v>3534</v>
      </c>
      <c r="D1580" t="s">
        <v>14</v>
      </c>
      <c r="E1580" t="s">
        <v>575</v>
      </c>
      <c r="F1580" t="s">
        <v>3535</v>
      </c>
      <c r="G1580" t="str">
        <f>"00157726"</f>
        <v>00157726</v>
      </c>
      <c r="H1580">
        <v>0</v>
      </c>
      <c r="I1580">
        <v>10</v>
      </c>
      <c r="M1580">
        <v>4</v>
      </c>
      <c r="N1580">
        <v>0</v>
      </c>
      <c r="O1580">
        <v>0</v>
      </c>
      <c r="P1580">
        <v>14</v>
      </c>
      <c r="Q1580">
        <v>31</v>
      </c>
      <c r="R1580">
        <v>31</v>
      </c>
      <c r="S1580">
        <v>6</v>
      </c>
      <c r="T1580">
        <v>0</v>
      </c>
      <c r="U1580" s="1">
        <v>0</v>
      </c>
      <c r="V1580">
        <v>51</v>
      </c>
    </row>
    <row r="1581" spans="1:22" ht="15">
      <c r="A1581" s="4">
        <v>1574</v>
      </c>
      <c r="B1581">
        <v>220</v>
      </c>
      <c r="C1581" t="s">
        <v>3536</v>
      </c>
      <c r="D1581" t="s">
        <v>1346</v>
      </c>
      <c r="E1581" t="s">
        <v>11</v>
      </c>
      <c r="F1581" t="s">
        <v>3537</v>
      </c>
      <c r="G1581" t="str">
        <f>"00528489"</f>
        <v>00528489</v>
      </c>
      <c r="H1581">
        <v>34</v>
      </c>
      <c r="I1581">
        <v>10</v>
      </c>
      <c r="M1581">
        <v>4</v>
      </c>
      <c r="N1581">
        <v>0</v>
      </c>
      <c r="O1581">
        <v>0</v>
      </c>
      <c r="P1581">
        <v>48</v>
      </c>
      <c r="Q1581">
        <v>0</v>
      </c>
      <c r="R1581">
        <v>0</v>
      </c>
      <c r="S1581">
        <v>3</v>
      </c>
      <c r="T1581">
        <v>0</v>
      </c>
      <c r="U1581" s="1">
        <v>0</v>
      </c>
      <c r="V1581">
        <v>51</v>
      </c>
    </row>
    <row r="1582" spans="1:22" ht="15">
      <c r="A1582" s="4">
        <v>1575</v>
      </c>
      <c r="B1582">
        <v>1708</v>
      </c>
      <c r="C1582" t="s">
        <v>3538</v>
      </c>
      <c r="D1582" t="s">
        <v>2053</v>
      </c>
      <c r="E1582" t="s">
        <v>41</v>
      </c>
      <c r="F1582" t="s">
        <v>3539</v>
      </c>
      <c r="G1582" t="str">
        <f>"00187955"</f>
        <v>00187955</v>
      </c>
      <c r="H1582">
        <v>28.88</v>
      </c>
      <c r="I1582">
        <v>0</v>
      </c>
      <c r="J1582">
        <v>8</v>
      </c>
      <c r="L1582">
        <v>4</v>
      </c>
      <c r="M1582">
        <v>4</v>
      </c>
      <c r="N1582">
        <v>12</v>
      </c>
      <c r="O1582">
        <v>0</v>
      </c>
      <c r="P1582">
        <v>44.88</v>
      </c>
      <c r="Q1582">
        <v>0</v>
      </c>
      <c r="R1582">
        <v>0</v>
      </c>
      <c r="S1582">
        <v>6</v>
      </c>
      <c r="T1582">
        <v>0</v>
      </c>
      <c r="U1582" s="1">
        <v>0</v>
      </c>
      <c r="V1582">
        <v>50.88</v>
      </c>
    </row>
    <row r="1583" spans="1:22" ht="15">
      <c r="A1583" s="4">
        <v>1576</v>
      </c>
      <c r="B1583">
        <v>2987</v>
      </c>
      <c r="C1583" t="s">
        <v>3540</v>
      </c>
      <c r="D1583" t="s">
        <v>26</v>
      </c>
      <c r="E1583" t="s">
        <v>2106</v>
      </c>
      <c r="F1583" t="s">
        <v>3541</v>
      </c>
      <c r="G1583" t="str">
        <f>"00497296"</f>
        <v>00497296</v>
      </c>
      <c r="H1583">
        <v>36.84</v>
      </c>
      <c r="I1583">
        <v>10</v>
      </c>
      <c r="M1583">
        <v>4</v>
      </c>
      <c r="N1583">
        <v>0</v>
      </c>
      <c r="O1583">
        <v>0</v>
      </c>
      <c r="P1583">
        <v>50.84</v>
      </c>
      <c r="Q1583">
        <v>0</v>
      </c>
      <c r="R1583">
        <v>0</v>
      </c>
      <c r="S1583">
        <v>0</v>
      </c>
      <c r="T1583">
        <v>0</v>
      </c>
      <c r="U1583" s="1">
        <v>0</v>
      </c>
      <c r="V1583">
        <v>50.84</v>
      </c>
    </row>
    <row r="1584" spans="1:22" ht="15">
      <c r="A1584" s="4">
        <v>1577</v>
      </c>
      <c r="B1584">
        <v>1627</v>
      </c>
      <c r="C1584" t="s">
        <v>3542</v>
      </c>
      <c r="D1584" t="s">
        <v>3543</v>
      </c>
      <c r="E1584" t="s">
        <v>90</v>
      </c>
      <c r="F1584" t="s">
        <v>3544</v>
      </c>
      <c r="G1584" t="str">
        <f>"00243294"</f>
        <v>00243294</v>
      </c>
      <c r="H1584">
        <v>29.8</v>
      </c>
      <c r="I1584">
        <v>0</v>
      </c>
      <c r="M1584">
        <v>4</v>
      </c>
      <c r="N1584">
        <v>0</v>
      </c>
      <c r="O1584">
        <v>0</v>
      </c>
      <c r="P1584">
        <v>33.8</v>
      </c>
      <c r="Q1584">
        <v>8</v>
      </c>
      <c r="R1584">
        <v>8</v>
      </c>
      <c r="S1584">
        <v>9</v>
      </c>
      <c r="T1584">
        <v>0</v>
      </c>
      <c r="U1584" s="1">
        <v>0</v>
      </c>
      <c r="V1584">
        <v>50.8</v>
      </c>
    </row>
    <row r="1585" spans="1:22" ht="15">
      <c r="A1585" s="4">
        <v>1578</v>
      </c>
      <c r="B1585">
        <v>2535</v>
      </c>
      <c r="C1585" t="s">
        <v>3545</v>
      </c>
      <c r="D1585" t="s">
        <v>3546</v>
      </c>
      <c r="E1585" t="s">
        <v>83</v>
      </c>
      <c r="F1585" t="s">
        <v>3547</v>
      </c>
      <c r="G1585" t="str">
        <f>"00531478"</f>
        <v>00531478</v>
      </c>
      <c r="H1585">
        <v>28.8</v>
      </c>
      <c r="I1585">
        <v>10</v>
      </c>
      <c r="M1585">
        <v>4</v>
      </c>
      <c r="N1585">
        <v>0</v>
      </c>
      <c r="O1585">
        <v>2</v>
      </c>
      <c r="P1585">
        <v>44.8</v>
      </c>
      <c r="Q1585">
        <v>0</v>
      </c>
      <c r="R1585">
        <v>0</v>
      </c>
      <c r="S1585">
        <v>6</v>
      </c>
      <c r="T1585">
        <v>0</v>
      </c>
      <c r="U1585" s="1">
        <v>0</v>
      </c>
      <c r="V1585">
        <v>50.8</v>
      </c>
    </row>
    <row r="1586" spans="1:22" ht="15">
      <c r="A1586" s="4">
        <v>1579</v>
      </c>
      <c r="B1586">
        <v>3348</v>
      </c>
      <c r="C1586" t="s">
        <v>3548</v>
      </c>
      <c r="D1586" t="s">
        <v>179</v>
      </c>
      <c r="E1586" t="s">
        <v>19</v>
      </c>
      <c r="F1586" t="s">
        <v>3549</v>
      </c>
      <c r="G1586" t="str">
        <f>"00533215"</f>
        <v>00533215</v>
      </c>
      <c r="H1586">
        <v>10.8</v>
      </c>
      <c r="I1586">
        <v>10</v>
      </c>
      <c r="M1586">
        <v>4</v>
      </c>
      <c r="N1586">
        <v>0</v>
      </c>
      <c r="O1586">
        <v>0</v>
      </c>
      <c r="P1586">
        <v>24.8</v>
      </c>
      <c r="Q1586">
        <v>26</v>
      </c>
      <c r="R1586">
        <v>26</v>
      </c>
      <c r="S1586">
        <v>0</v>
      </c>
      <c r="T1586">
        <v>0</v>
      </c>
      <c r="U1586" s="1">
        <v>0</v>
      </c>
      <c r="V1586">
        <v>50.8</v>
      </c>
    </row>
    <row r="1587" spans="1:22" ht="15">
      <c r="A1587" s="4">
        <v>1580</v>
      </c>
      <c r="B1587">
        <v>441</v>
      </c>
      <c r="C1587" t="s">
        <v>3550</v>
      </c>
      <c r="D1587" t="s">
        <v>156</v>
      </c>
      <c r="E1587" t="s">
        <v>19</v>
      </c>
      <c r="F1587" t="s">
        <v>3551</v>
      </c>
      <c r="G1587" t="str">
        <f>"00162738"</f>
        <v>00162738</v>
      </c>
      <c r="H1587">
        <v>20.8</v>
      </c>
      <c r="I1587">
        <v>0</v>
      </c>
      <c r="M1587">
        <v>4</v>
      </c>
      <c r="N1587">
        <v>0</v>
      </c>
      <c r="O1587">
        <v>0</v>
      </c>
      <c r="P1587">
        <v>24.8</v>
      </c>
      <c r="Q1587">
        <v>17</v>
      </c>
      <c r="R1587">
        <v>17</v>
      </c>
      <c r="S1587">
        <v>9</v>
      </c>
      <c r="T1587">
        <v>0</v>
      </c>
      <c r="U1587" s="1">
        <v>0</v>
      </c>
      <c r="V1587">
        <v>50.8</v>
      </c>
    </row>
    <row r="1588" spans="1:22" ht="15">
      <c r="A1588" s="4">
        <v>1581</v>
      </c>
      <c r="B1588">
        <v>75</v>
      </c>
      <c r="C1588" t="s">
        <v>3552</v>
      </c>
      <c r="D1588" t="s">
        <v>26</v>
      </c>
      <c r="E1588" t="s">
        <v>112</v>
      </c>
      <c r="F1588" t="s">
        <v>3553</v>
      </c>
      <c r="G1588" t="str">
        <f>"201510003578"</f>
        <v>201510003578</v>
      </c>
      <c r="H1588">
        <v>36.72</v>
      </c>
      <c r="I1588">
        <v>0</v>
      </c>
      <c r="L1588">
        <v>4</v>
      </c>
      <c r="M1588">
        <v>4</v>
      </c>
      <c r="N1588">
        <v>4</v>
      </c>
      <c r="O1588">
        <v>0</v>
      </c>
      <c r="P1588">
        <v>44.72</v>
      </c>
      <c r="Q1588">
        <v>0</v>
      </c>
      <c r="R1588">
        <v>0</v>
      </c>
      <c r="S1588">
        <v>6</v>
      </c>
      <c r="T1588">
        <v>0</v>
      </c>
      <c r="U1588" s="1">
        <v>0</v>
      </c>
      <c r="V1588">
        <v>50.72</v>
      </c>
    </row>
    <row r="1589" spans="1:22" ht="15">
      <c r="A1589" s="4">
        <v>1582</v>
      </c>
      <c r="B1589">
        <v>2323</v>
      </c>
      <c r="C1589" t="s">
        <v>3554</v>
      </c>
      <c r="D1589" t="s">
        <v>292</v>
      </c>
      <c r="E1589" t="s">
        <v>30</v>
      </c>
      <c r="F1589" t="s">
        <v>3555</v>
      </c>
      <c r="G1589" t="str">
        <f>"00155884"</f>
        <v>00155884</v>
      </c>
      <c r="H1589">
        <v>39.72</v>
      </c>
      <c r="I1589">
        <v>0</v>
      </c>
      <c r="M1589">
        <v>4</v>
      </c>
      <c r="N1589">
        <v>0</v>
      </c>
      <c r="O1589">
        <v>0</v>
      </c>
      <c r="P1589">
        <v>43.72</v>
      </c>
      <c r="Q1589">
        <v>7</v>
      </c>
      <c r="R1589">
        <v>7</v>
      </c>
      <c r="S1589">
        <v>0</v>
      </c>
      <c r="T1589">
        <v>0</v>
      </c>
      <c r="U1589" s="1">
        <v>0</v>
      </c>
      <c r="V1589">
        <v>50.72</v>
      </c>
    </row>
    <row r="1590" spans="1:22" ht="15">
      <c r="A1590" s="4">
        <v>1583</v>
      </c>
      <c r="B1590">
        <v>3137</v>
      </c>
      <c r="C1590" t="s">
        <v>3556</v>
      </c>
      <c r="D1590" t="s">
        <v>40</v>
      </c>
      <c r="E1590" t="s">
        <v>90</v>
      </c>
      <c r="F1590" t="s">
        <v>3557</v>
      </c>
      <c r="G1590" t="str">
        <f>"200802005461"</f>
        <v>200802005461</v>
      </c>
      <c r="H1590">
        <v>34.68</v>
      </c>
      <c r="I1590">
        <v>0</v>
      </c>
      <c r="M1590">
        <v>4</v>
      </c>
      <c r="N1590">
        <v>0</v>
      </c>
      <c r="O1590">
        <v>0</v>
      </c>
      <c r="P1590">
        <v>38.68</v>
      </c>
      <c r="Q1590">
        <v>0</v>
      </c>
      <c r="R1590">
        <v>0</v>
      </c>
      <c r="S1590">
        <v>12</v>
      </c>
      <c r="T1590">
        <v>0</v>
      </c>
      <c r="U1590" s="1">
        <v>0</v>
      </c>
      <c r="V1590">
        <v>50.68</v>
      </c>
    </row>
    <row r="1591" spans="1:22" ht="15">
      <c r="A1591" s="4">
        <v>1584</v>
      </c>
      <c r="B1591">
        <v>827</v>
      </c>
      <c r="C1591" t="s">
        <v>3558</v>
      </c>
      <c r="D1591" t="s">
        <v>36</v>
      </c>
      <c r="E1591" t="s">
        <v>1180</v>
      </c>
      <c r="F1591" t="s">
        <v>3559</v>
      </c>
      <c r="G1591" t="str">
        <f>"00531957"</f>
        <v>00531957</v>
      </c>
      <c r="H1591">
        <v>21.6</v>
      </c>
      <c r="I1591">
        <v>0</v>
      </c>
      <c r="M1591">
        <v>0</v>
      </c>
      <c r="N1591">
        <v>0</v>
      </c>
      <c r="O1591">
        <v>0</v>
      </c>
      <c r="P1591">
        <v>21.6</v>
      </c>
      <c r="Q1591">
        <v>26</v>
      </c>
      <c r="R1591">
        <v>26</v>
      </c>
      <c r="S1591">
        <v>3</v>
      </c>
      <c r="T1591">
        <v>0</v>
      </c>
      <c r="U1591" s="1">
        <v>0</v>
      </c>
      <c r="V1591">
        <v>50.6</v>
      </c>
    </row>
    <row r="1592" spans="1:22" ht="15">
      <c r="A1592" s="4">
        <v>1585</v>
      </c>
      <c r="B1592">
        <v>3259</v>
      </c>
      <c r="C1592" t="s">
        <v>3560</v>
      </c>
      <c r="D1592" t="s">
        <v>121</v>
      </c>
      <c r="E1592" t="s">
        <v>15</v>
      </c>
      <c r="F1592" t="s">
        <v>3561</v>
      </c>
      <c r="G1592" t="str">
        <f>"00339750"</f>
        <v>00339750</v>
      </c>
      <c r="H1592">
        <v>39.6</v>
      </c>
      <c r="I1592">
        <v>0</v>
      </c>
      <c r="M1592">
        <v>0</v>
      </c>
      <c r="N1592">
        <v>0</v>
      </c>
      <c r="O1592">
        <v>0</v>
      </c>
      <c r="P1592">
        <v>39.6</v>
      </c>
      <c r="Q1592">
        <v>5</v>
      </c>
      <c r="R1592">
        <v>5</v>
      </c>
      <c r="S1592">
        <v>6</v>
      </c>
      <c r="T1592">
        <v>0</v>
      </c>
      <c r="U1592" s="1">
        <v>0</v>
      </c>
      <c r="V1592">
        <v>50.6</v>
      </c>
    </row>
    <row r="1593" spans="1:22" ht="15">
      <c r="A1593" s="4">
        <v>1586</v>
      </c>
      <c r="B1593">
        <v>2604</v>
      </c>
      <c r="C1593" t="s">
        <v>3562</v>
      </c>
      <c r="D1593" t="s">
        <v>280</v>
      </c>
      <c r="E1593" t="s">
        <v>3563</v>
      </c>
      <c r="F1593" t="s">
        <v>3564</v>
      </c>
      <c r="G1593" t="str">
        <f>"00484269"</f>
        <v>00484269</v>
      </c>
      <c r="H1593">
        <v>39.56</v>
      </c>
      <c r="I1593">
        <v>0</v>
      </c>
      <c r="M1593">
        <v>0</v>
      </c>
      <c r="N1593">
        <v>0</v>
      </c>
      <c r="O1593">
        <v>0</v>
      </c>
      <c r="P1593">
        <v>39.56</v>
      </c>
      <c r="Q1593">
        <v>5</v>
      </c>
      <c r="R1593">
        <v>5</v>
      </c>
      <c r="S1593">
        <v>6</v>
      </c>
      <c r="T1593">
        <v>0</v>
      </c>
      <c r="U1593" s="1">
        <v>0</v>
      </c>
      <c r="V1593">
        <v>50.56</v>
      </c>
    </row>
    <row r="1594" spans="1:22" ht="15">
      <c r="A1594" s="4">
        <v>1587</v>
      </c>
      <c r="B1594">
        <v>364</v>
      </c>
      <c r="C1594" t="s">
        <v>2467</v>
      </c>
      <c r="D1594" t="s">
        <v>211</v>
      </c>
      <c r="E1594" t="s">
        <v>73</v>
      </c>
      <c r="F1594" t="s">
        <v>3565</v>
      </c>
      <c r="G1594" t="str">
        <f>"00442530"</f>
        <v>00442530</v>
      </c>
      <c r="H1594">
        <v>29.44</v>
      </c>
      <c r="I1594">
        <v>0</v>
      </c>
      <c r="M1594">
        <v>4</v>
      </c>
      <c r="N1594">
        <v>0</v>
      </c>
      <c r="O1594">
        <v>0</v>
      </c>
      <c r="P1594">
        <v>33.44</v>
      </c>
      <c r="Q1594">
        <v>17</v>
      </c>
      <c r="R1594">
        <v>17</v>
      </c>
      <c r="S1594">
        <v>0</v>
      </c>
      <c r="T1594">
        <v>0</v>
      </c>
      <c r="U1594" s="1">
        <v>0</v>
      </c>
      <c r="V1594">
        <v>50.44</v>
      </c>
    </row>
    <row r="1595" spans="1:22" ht="15">
      <c r="A1595" s="4">
        <v>1588</v>
      </c>
      <c r="B1595">
        <v>1115</v>
      </c>
      <c r="C1595" t="s">
        <v>3566</v>
      </c>
      <c r="D1595" t="s">
        <v>3567</v>
      </c>
      <c r="E1595" t="s">
        <v>3568</v>
      </c>
      <c r="F1595" t="s">
        <v>3569</v>
      </c>
      <c r="G1595" t="str">
        <f>"00502038"</f>
        <v>00502038</v>
      </c>
      <c r="H1595">
        <v>50.4</v>
      </c>
      <c r="I1595">
        <v>0</v>
      </c>
      <c r="M1595">
        <v>0</v>
      </c>
      <c r="N1595">
        <v>0</v>
      </c>
      <c r="O1595">
        <v>0</v>
      </c>
      <c r="P1595">
        <v>50.4</v>
      </c>
      <c r="Q1595">
        <v>0</v>
      </c>
      <c r="R1595">
        <v>0</v>
      </c>
      <c r="S1595">
        <v>0</v>
      </c>
      <c r="T1595">
        <v>0</v>
      </c>
      <c r="U1595" s="1">
        <v>0</v>
      </c>
      <c r="V1595">
        <v>50.4</v>
      </c>
    </row>
    <row r="1596" spans="1:22" ht="15">
      <c r="A1596" s="4">
        <v>1589</v>
      </c>
      <c r="B1596">
        <v>2004</v>
      </c>
      <c r="C1596" t="s">
        <v>3570</v>
      </c>
      <c r="D1596" t="s">
        <v>130</v>
      </c>
      <c r="E1596" t="s">
        <v>59</v>
      </c>
      <c r="F1596" t="s">
        <v>3571</v>
      </c>
      <c r="G1596" t="str">
        <f>"00523666"</f>
        <v>00523666</v>
      </c>
      <c r="H1596">
        <v>50.4</v>
      </c>
      <c r="I1596">
        <v>0</v>
      </c>
      <c r="M1596">
        <v>0</v>
      </c>
      <c r="N1596">
        <v>0</v>
      </c>
      <c r="O1596">
        <v>0</v>
      </c>
      <c r="P1596">
        <v>50.4</v>
      </c>
      <c r="Q1596">
        <v>0</v>
      </c>
      <c r="R1596">
        <v>0</v>
      </c>
      <c r="S1596">
        <v>0</v>
      </c>
      <c r="T1596">
        <v>0</v>
      </c>
      <c r="U1596" s="1">
        <v>0</v>
      </c>
      <c r="V1596">
        <v>50.4</v>
      </c>
    </row>
    <row r="1597" spans="1:22" ht="15">
      <c r="A1597" s="4">
        <v>1590</v>
      </c>
      <c r="B1597">
        <v>2056</v>
      </c>
      <c r="C1597" t="s">
        <v>1461</v>
      </c>
      <c r="D1597" t="s">
        <v>89</v>
      </c>
      <c r="E1597" t="s">
        <v>11</v>
      </c>
      <c r="F1597" t="s">
        <v>3572</v>
      </c>
      <c r="G1597" t="str">
        <f>"00080509"</f>
        <v>00080509</v>
      </c>
      <c r="H1597">
        <v>38.4</v>
      </c>
      <c r="I1597">
        <v>0</v>
      </c>
      <c r="J1597">
        <v>8</v>
      </c>
      <c r="M1597">
        <v>4</v>
      </c>
      <c r="N1597">
        <v>8</v>
      </c>
      <c r="O1597">
        <v>0</v>
      </c>
      <c r="P1597">
        <v>50.4</v>
      </c>
      <c r="Q1597">
        <v>0</v>
      </c>
      <c r="R1597">
        <v>0</v>
      </c>
      <c r="S1597">
        <v>0</v>
      </c>
      <c r="T1597">
        <v>0</v>
      </c>
      <c r="U1597" s="1">
        <v>0</v>
      </c>
      <c r="V1597">
        <v>50.4</v>
      </c>
    </row>
    <row r="1598" spans="1:22" ht="15">
      <c r="A1598" s="4">
        <v>1591</v>
      </c>
      <c r="B1598">
        <v>1629</v>
      </c>
      <c r="C1598" t="s">
        <v>3573</v>
      </c>
      <c r="D1598" t="s">
        <v>280</v>
      </c>
      <c r="E1598" t="s">
        <v>11</v>
      </c>
      <c r="F1598" t="s">
        <v>3574</v>
      </c>
      <c r="G1598" t="str">
        <f>"00530055"</f>
        <v>00530055</v>
      </c>
      <c r="H1598">
        <v>50.4</v>
      </c>
      <c r="I1598">
        <v>0</v>
      </c>
      <c r="M1598">
        <v>0</v>
      </c>
      <c r="N1598">
        <v>0</v>
      </c>
      <c r="O1598">
        <v>0</v>
      </c>
      <c r="P1598">
        <v>50.4</v>
      </c>
      <c r="Q1598">
        <v>0</v>
      </c>
      <c r="R1598">
        <v>0</v>
      </c>
      <c r="S1598">
        <v>0</v>
      </c>
      <c r="T1598">
        <v>0</v>
      </c>
      <c r="U1598" s="1">
        <v>0</v>
      </c>
      <c r="V1598">
        <v>50.4</v>
      </c>
    </row>
    <row r="1599" spans="1:22" ht="15">
      <c r="A1599" s="4">
        <v>1592</v>
      </c>
      <c r="B1599">
        <v>918</v>
      </c>
      <c r="C1599" t="s">
        <v>3575</v>
      </c>
      <c r="D1599" t="s">
        <v>643</v>
      </c>
      <c r="E1599" t="s">
        <v>11</v>
      </c>
      <c r="F1599" t="s">
        <v>3576</v>
      </c>
      <c r="G1599" t="str">
        <f>"00531410"</f>
        <v>00531410</v>
      </c>
      <c r="H1599">
        <v>50.4</v>
      </c>
      <c r="I1599">
        <v>0</v>
      </c>
      <c r="M1599">
        <v>0</v>
      </c>
      <c r="N1599">
        <v>0</v>
      </c>
      <c r="O1599">
        <v>0</v>
      </c>
      <c r="P1599">
        <v>50.4</v>
      </c>
      <c r="Q1599">
        <v>0</v>
      </c>
      <c r="R1599">
        <v>0</v>
      </c>
      <c r="S1599">
        <v>0</v>
      </c>
      <c r="T1599">
        <v>0</v>
      </c>
      <c r="U1599" s="1">
        <v>0</v>
      </c>
      <c r="V1599">
        <v>50.4</v>
      </c>
    </row>
    <row r="1600" spans="1:22" ht="15">
      <c r="A1600" s="4">
        <v>1593</v>
      </c>
      <c r="B1600">
        <v>32</v>
      </c>
      <c r="C1600" t="s">
        <v>3577</v>
      </c>
      <c r="D1600" t="s">
        <v>193</v>
      </c>
      <c r="E1600" t="s">
        <v>73</v>
      </c>
      <c r="F1600" t="s">
        <v>3578</v>
      </c>
      <c r="G1600" t="str">
        <f>"00519329"</f>
        <v>00519329</v>
      </c>
      <c r="H1600">
        <v>50.4</v>
      </c>
      <c r="I1600">
        <v>0</v>
      </c>
      <c r="M1600">
        <v>0</v>
      </c>
      <c r="N1600">
        <v>0</v>
      </c>
      <c r="O1600">
        <v>0</v>
      </c>
      <c r="P1600">
        <v>50.4</v>
      </c>
      <c r="Q1600">
        <v>0</v>
      </c>
      <c r="R1600">
        <v>0</v>
      </c>
      <c r="S1600">
        <v>0</v>
      </c>
      <c r="T1600">
        <v>0</v>
      </c>
      <c r="U1600" s="1">
        <v>0</v>
      </c>
      <c r="V1600">
        <v>50.4</v>
      </c>
    </row>
    <row r="1601" spans="1:22" ht="15">
      <c r="A1601" s="4">
        <v>1594</v>
      </c>
      <c r="B1601">
        <v>3150</v>
      </c>
      <c r="C1601" t="s">
        <v>3579</v>
      </c>
      <c r="D1601" t="s">
        <v>14</v>
      </c>
      <c r="E1601" t="s">
        <v>112</v>
      </c>
      <c r="F1601" t="s">
        <v>3580</v>
      </c>
      <c r="G1601" t="str">
        <f>"00533428"</f>
        <v>00533428</v>
      </c>
      <c r="H1601">
        <v>50.4</v>
      </c>
      <c r="I1601">
        <v>0</v>
      </c>
      <c r="M1601">
        <v>0</v>
      </c>
      <c r="N1601">
        <v>0</v>
      </c>
      <c r="O1601">
        <v>0</v>
      </c>
      <c r="P1601">
        <v>50.4</v>
      </c>
      <c r="Q1601">
        <v>0</v>
      </c>
      <c r="R1601">
        <v>0</v>
      </c>
      <c r="S1601">
        <v>0</v>
      </c>
      <c r="T1601">
        <v>0</v>
      </c>
      <c r="U1601" s="1">
        <v>0</v>
      </c>
      <c r="V1601">
        <v>50.4</v>
      </c>
    </row>
    <row r="1602" spans="1:22" ht="15">
      <c r="A1602" s="4">
        <v>1595</v>
      </c>
      <c r="B1602">
        <v>1571</v>
      </c>
      <c r="C1602" t="s">
        <v>3581</v>
      </c>
      <c r="D1602" t="s">
        <v>14</v>
      </c>
      <c r="E1602" t="s">
        <v>112</v>
      </c>
      <c r="F1602" t="s">
        <v>3582</v>
      </c>
      <c r="G1602" t="str">
        <f>"00529674"</f>
        <v>00529674</v>
      </c>
      <c r="H1602">
        <v>50.4</v>
      </c>
      <c r="I1602">
        <v>0</v>
      </c>
      <c r="M1602">
        <v>0</v>
      </c>
      <c r="N1602">
        <v>0</v>
      </c>
      <c r="O1602">
        <v>0</v>
      </c>
      <c r="P1602">
        <v>50.4</v>
      </c>
      <c r="Q1602">
        <v>0</v>
      </c>
      <c r="R1602">
        <v>0</v>
      </c>
      <c r="S1602">
        <v>0</v>
      </c>
      <c r="T1602">
        <v>0</v>
      </c>
      <c r="U1602" s="1">
        <v>0</v>
      </c>
      <c r="V1602">
        <v>50.4</v>
      </c>
    </row>
    <row r="1603" spans="1:22" ht="15">
      <c r="A1603" s="4">
        <v>1596</v>
      </c>
      <c r="B1603">
        <v>2134</v>
      </c>
      <c r="C1603" t="s">
        <v>3583</v>
      </c>
      <c r="D1603" t="s">
        <v>222</v>
      </c>
      <c r="E1603" t="s">
        <v>1193</v>
      </c>
      <c r="F1603" t="s">
        <v>3584</v>
      </c>
      <c r="G1603" t="str">
        <f>"00504574"</f>
        <v>00504574</v>
      </c>
      <c r="H1603">
        <v>34.4</v>
      </c>
      <c r="I1603">
        <v>0</v>
      </c>
      <c r="L1603">
        <v>4</v>
      </c>
      <c r="M1603">
        <v>4</v>
      </c>
      <c r="N1603">
        <v>4</v>
      </c>
      <c r="O1603">
        <v>0</v>
      </c>
      <c r="P1603">
        <v>42.4</v>
      </c>
      <c r="Q1603">
        <v>5</v>
      </c>
      <c r="R1603">
        <v>5</v>
      </c>
      <c r="S1603">
        <v>3</v>
      </c>
      <c r="T1603">
        <v>0</v>
      </c>
      <c r="U1603" s="1">
        <v>0</v>
      </c>
      <c r="V1603">
        <v>50.4</v>
      </c>
    </row>
    <row r="1604" spans="1:22" ht="15">
      <c r="A1604" s="4">
        <v>1597</v>
      </c>
      <c r="B1604">
        <v>424</v>
      </c>
      <c r="C1604" t="s">
        <v>3585</v>
      </c>
      <c r="D1604" t="s">
        <v>89</v>
      </c>
      <c r="E1604" t="s">
        <v>738</v>
      </c>
      <c r="F1604" t="s">
        <v>3586</v>
      </c>
      <c r="G1604" t="str">
        <f>"201511035585"</f>
        <v>201511035585</v>
      </c>
      <c r="H1604">
        <v>50.4</v>
      </c>
      <c r="I1604">
        <v>0</v>
      </c>
      <c r="M1604">
        <v>0</v>
      </c>
      <c r="N1604">
        <v>0</v>
      </c>
      <c r="O1604">
        <v>0</v>
      </c>
      <c r="P1604">
        <v>50.4</v>
      </c>
      <c r="Q1604">
        <v>0</v>
      </c>
      <c r="R1604">
        <v>0</v>
      </c>
      <c r="S1604">
        <v>0</v>
      </c>
      <c r="T1604">
        <v>0</v>
      </c>
      <c r="U1604" s="1">
        <v>0</v>
      </c>
      <c r="V1604">
        <v>50.4</v>
      </c>
    </row>
    <row r="1605" spans="1:22" ht="15">
      <c r="A1605" s="4">
        <v>1598</v>
      </c>
      <c r="B1605">
        <v>2861</v>
      </c>
      <c r="C1605" t="s">
        <v>3587</v>
      </c>
      <c r="D1605" t="s">
        <v>121</v>
      </c>
      <c r="E1605" t="s">
        <v>51</v>
      </c>
      <c r="F1605" t="s">
        <v>3588</v>
      </c>
      <c r="G1605" t="str">
        <f>"00492923"</f>
        <v>00492923</v>
      </c>
      <c r="H1605">
        <v>36.32</v>
      </c>
      <c r="I1605">
        <v>0</v>
      </c>
      <c r="L1605">
        <v>4</v>
      </c>
      <c r="M1605">
        <v>4</v>
      </c>
      <c r="N1605">
        <v>4</v>
      </c>
      <c r="O1605">
        <v>0</v>
      </c>
      <c r="P1605">
        <v>44.32</v>
      </c>
      <c r="Q1605">
        <v>0</v>
      </c>
      <c r="R1605">
        <v>0</v>
      </c>
      <c r="S1605">
        <v>6</v>
      </c>
      <c r="T1605">
        <v>0</v>
      </c>
      <c r="U1605" s="1">
        <v>0</v>
      </c>
      <c r="V1605">
        <v>50.32</v>
      </c>
    </row>
    <row r="1606" spans="1:22" ht="15">
      <c r="A1606" s="4">
        <v>1599</v>
      </c>
      <c r="B1606">
        <v>3075</v>
      </c>
      <c r="C1606" t="s">
        <v>3589</v>
      </c>
      <c r="D1606" t="s">
        <v>189</v>
      </c>
      <c r="E1606" t="s">
        <v>55</v>
      </c>
      <c r="F1606" t="s">
        <v>3590</v>
      </c>
      <c r="G1606" t="str">
        <f>"00042422"</f>
        <v>00042422</v>
      </c>
      <c r="H1606">
        <v>33.32</v>
      </c>
      <c r="I1606">
        <v>0</v>
      </c>
      <c r="L1606">
        <v>4</v>
      </c>
      <c r="M1606">
        <v>4</v>
      </c>
      <c r="N1606">
        <v>4</v>
      </c>
      <c r="O1606">
        <v>0</v>
      </c>
      <c r="P1606">
        <v>41.32</v>
      </c>
      <c r="Q1606">
        <v>0</v>
      </c>
      <c r="R1606">
        <v>0</v>
      </c>
      <c r="S1606">
        <v>9</v>
      </c>
      <c r="T1606">
        <v>0</v>
      </c>
      <c r="U1606" s="1">
        <v>0</v>
      </c>
      <c r="V1606">
        <v>50.32</v>
      </c>
    </row>
    <row r="1607" spans="1:22" ht="15">
      <c r="A1607" s="4">
        <v>1600</v>
      </c>
      <c r="B1607">
        <v>731</v>
      </c>
      <c r="C1607" t="s">
        <v>3591</v>
      </c>
      <c r="D1607" t="s">
        <v>3592</v>
      </c>
      <c r="E1607" t="s">
        <v>11</v>
      </c>
      <c r="F1607" t="s">
        <v>3593</v>
      </c>
      <c r="G1607" t="str">
        <f>"00528692"</f>
        <v>00528692</v>
      </c>
      <c r="H1607">
        <v>30.24</v>
      </c>
      <c r="I1607">
        <v>10</v>
      </c>
      <c r="M1607">
        <v>0</v>
      </c>
      <c r="N1607">
        <v>0</v>
      </c>
      <c r="O1607">
        <v>0</v>
      </c>
      <c r="P1607">
        <v>40.24</v>
      </c>
      <c r="Q1607">
        <v>4</v>
      </c>
      <c r="R1607">
        <v>4</v>
      </c>
      <c r="S1607">
        <v>6</v>
      </c>
      <c r="T1607">
        <v>0</v>
      </c>
      <c r="U1607" s="1">
        <v>0</v>
      </c>
      <c r="V1607">
        <v>50.24</v>
      </c>
    </row>
    <row r="1608" spans="1:22" ht="15">
      <c r="A1608" s="4">
        <v>1601</v>
      </c>
      <c r="B1608">
        <v>632</v>
      </c>
      <c r="C1608" t="s">
        <v>3594</v>
      </c>
      <c r="D1608" t="s">
        <v>3595</v>
      </c>
      <c r="E1608" t="s">
        <v>73</v>
      </c>
      <c r="F1608" t="s">
        <v>3596</v>
      </c>
      <c r="G1608" t="str">
        <f>"00520252"</f>
        <v>00520252</v>
      </c>
      <c r="H1608">
        <v>34.24</v>
      </c>
      <c r="I1608">
        <v>10</v>
      </c>
      <c r="M1608">
        <v>0</v>
      </c>
      <c r="N1608">
        <v>0</v>
      </c>
      <c r="O1608">
        <v>0</v>
      </c>
      <c r="P1608">
        <v>44.24</v>
      </c>
      <c r="Q1608">
        <v>0</v>
      </c>
      <c r="R1608">
        <v>0</v>
      </c>
      <c r="S1608">
        <v>6</v>
      </c>
      <c r="T1608">
        <v>0</v>
      </c>
      <c r="U1608" s="1">
        <v>0</v>
      </c>
      <c r="V1608">
        <v>50.24</v>
      </c>
    </row>
    <row r="1609" spans="1:22" ht="15">
      <c r="A1609" s="4">
        <v>1602</v>
      </c>
      <c r="B1609">
        <v>1112</v>
      </c>
      <c r="C1609" t="s">
        <v>3597</v>
      </c>
      <c r="D1609" t="s">
        <v>22</v>
      </c>
      <c r="E1609" t="s">
        <v>30</v>
      </c>
      <c r="F1609" t="s">
        <v>3598</v>
      </c>
      <c r="G1609" t="str">
        <f>"201510000964"</f>
        <v>201510000964</v>
      </c>
      <c r="H1609">
        <v>30.24</v>
      </c>
      <c r="I1609">
        <v>0</v>
      </c>
      <c r="L1609">
        <v>8</v>
      </c>
      <c r="M1609">
        <v>4</v>
      </c>
      <c r="N1609">
        <v>8</v>
      </c>
      <c r="O1609">
        <v>2</v>
      </c>
      <c r="P1609">
        <v>44.24</v>
      </c>
      <c r="Q1609">
        <v>0</v>
      </c>
      <c r="R1609">
        <v>0</v>
      </c>
      <c r="S1609">
        <v>6</v>
      </c>
      <c r="T1609">
        <v>0</v>
      </c>
      <c r="U1609" s="1">
        <v>0</v>
      </c>
      <c r="V1609">
        <v>50.24</v>
      </c>
    </row>
    <row r="1610" spans="1:22" ht="15">
      <c r="A1610" s="4">
        <v>1603</v>
      </c>
      <c r="B1610">
        <v>901</v>
      </c>
      <c r="C1610" t="s">
        <v>3599</v>
      </c>
      <c r="D1610" t="s">
        <v>266</v>
      </c>
      <c r="E1610" t="s">
        <v>403</v>
      </c>
      <c r="F1610" t="s">
        <v>3600</v>
      </c>
      <c r="G1610" t="str">
        <f>"00397167"</f>
        <v>00397167</v>
      </c>
      <c r="H1610">
        <v>37.2</v>
      </c>
      <c r="I1610">
        <v>0</v>
      </c>
      <c r="M1610">
        <v>4</v>
      </c>
      <c r="N1610">
        <v>0</v>
      </c>
      <c r="O1610">
        <v>0</v>
      </c>
      <c r="P1610">
        <v>41.2</v>
      </c>
      <c r="Q1610">
        <v>0</v>
      </c>
      <c r="R1610">
        <v>0</v>
      </c>
      <c r="S1610">
        <v>9</v>
      </c>
      <c r="T1610">
        <v>0</v>
      </c>
      <c r="U1610" s="1">
        <v>0</v>
      </c>
      <c r="V1610">
        <v>50.2</v>
      </c>
    </row>
    <row r="1611" spans="1:22" ht="15">
      <c r="A1611" s="4">
        <v>1604</v>
      </c>
      <c r="B1611">
        <v>2201</v>
      </c>
      <c r="C1611" t="s">
        <v>3601</v>
      </c>
      <c r="D1611" t="s">
        <v>179</v>
      </c>
      <c r="E1611" t="s">
        <v>15</v>
      </c>
      <c r="F1611" t="s">
        <v>3602</v>
      </c>
      <c r="G1611" t="str">
        <f>"00534127"</f>
        <v>00534127</v>
      </c>
      <c r="H1611">
        <v>43.2</v>
      </c>
      <c r="I1611">
        <v>0</v>
      </c>
      <c r="M1611">
        <v>4</v>
      </c>
      <c r="N1611">
        <v>0</v>
      </c>
      <c r="O1611">
        <v>0</v>
      </c>
      <c r="P1611">
        <v>47.2</v>
      </c>
      <c r="Q1611">
        <v>0</v>
      </c>
      <c r="R1611">
        <v>0</v>
      </c>
      <c r="S1611">
        <v>3</v>
      </c>
      <c r="T1611">
        <v>0</v>
      </c>
      <c r="U1611" s="1">
        <v>0</v>
      </c>
      <c r="V1611">
        <v>50.2</v>
      </c>
    </row>
    <row r="1612" spans="1:22" ht="15">
      <c r="A1612" s="4">
        <v>1605</v>
      </c>
      <c r="B1612">
        <v>3292</v>
      </c>
      <c r="C1612" t="s">
        <v>3603</v>
      </c>
      <c r="D1612" t="s">
        <v>40</v>
      </c>
      <c r="E1612" t="s">
        <v>344</v>
      </c>
      <c r="F1612" t="s">
        <v>3604</v>
      </c>
      <c r="G1612" t="str">
        <f>"00372652"</f>
        <v>00372652</v>
      </c>
      <c r="H1612">
        <v>43.2</v>
      </c>
      <c r="I1612">
        <v>0</v>
      </c>
      <c r="L1612">
        <v>4</v>
      </c>
      <c r="M1612">
        <v>0</v>
      </c>
      <c r="N1612">
        <v>4</v>
      </c>
      <c r="O1612">
        <v>0</v>
      </c>
      <c r="P1612">
        <v>47.2</v>
      </c>
      <c r="Q1612">
        <v>0</v>
      </c>
      <c r="R1612">
        <v>0</v>
      </c>
      <c r="S1612">
        <v>3</v>
      </c>
      <c r="T1612">
        <v>0</v>
      </c>
      <c r="U1612" s="1">
        <v>0</v>
      </c>
      <c r="V1612">
        <v>50.2</v>
      </c>
    </row>
    <row r="1613" spans="1:22" ht="15">
      <c r="A1613" s="4">
        <v>1606</v>
      </c>
      <c r="B1613">
        <v>2799</v>
      </c>
      <c r="C1613" t="s">
        <v>377</v>
      </c>
      <c r="D1613" t="s">
        <v>460</v>
      </c>
      <c r="E1613" t="s">
        <v>11</v>
      </c>
      <c r="F1613" t="s">
        <v>3605</v>
      </c>
      <c r="G1613" t="str">
        <f>"00532335"</f>
        <v>00532335</v>
      </c>
      <c r="H1613">
        <v>34.2</v>
      </c>
      <c r="I1613">
        <v>0</v>
      </c>
      <c r="M1613">
        <v>4</v>
      </c>
      <c r="N1613">
        <v>0</v>
      </c>
      <c r="O1613">
        <v>0</v>
      </c>
      <c r="P1613">
        <v>38.2</v>
      </c>
      <c r="Q1613">
        <v>0</v>
      </c>
      <c r="R1613">
        <v>0</v>
      </c>
      <c r="S1613">
        <v>12</v>
      </c>
      <c r="T1613">
        <v>0</v>
      </c>
      <c r="U1613" s="1">
        <v>0</v>
      </c>
      <c r="V1613">
        <v>50.2</v>
      </c>
    </row>
    <row r="1614" spans="1:22" ht="15">
      <c r="A1614" s="4">
        <v>1607</v>
      </c>
      <c r="B1614">
        <v>371</v>
      </c>
      <c r="C1614" t="s">
        <v>3606</v>
      </c>
      <c r="D1614" t="s">
        <v>89</v>
      </c>
      <c r="E1614" t="s">
        <v>11</v>
      </c>
      <c r="F1614" t="s">
        <v>3607</v>
      </c>
      <c r="G1614" t="str">
        <f>"00475759"</f>
        <v>00475759</v>
      </c>
      <c r="H1614">
        <v>43.2</v>
      </c>
      <c r="I1614">
        <v>0</v>
      </c>
      <c r="M1614">
        <v>4</v>
      </c>
      <c r="N1614">
        <v>0</v>
      </c>
      <c r="O1614">
        <v>0</v>
      </c>
      <c r="P1614">
        <v>47.2</v>
      </c>
      <c r="Q1614">
        <v>0</v>
      </c>
      <c r="R1614">
        <v>0</v>
      </c>
      <c r="S1614">
        <v>3</v>
      </c>
      <c r="T1614">
        <v>0</v>
      </c>
      <c r="U1614" s="1">
        <v>0</v>
      </c>
      <c r="V1614">
        <v>50.2</v>
      </c>
    </row>
    <row r="1615" spans="1:22" ht="15">
      <c r="A1615" s="4">
        <v>1608</v>
      </c>
      <c r="B1615">
        <v>2818</v>
      </c>
      <c r="C1615" t="s">
        <v>3608</v>
      </c>
      <c r="D1615" t="s">
        <v>72</v>
      </c>
      <c r="E1615" t="s">
        <v>15</v>
      </c>
      <c r="F1615" t="s">
        <v>3609</v>
      </c>
      <c r="G1615" t="str">
        <f>"00532270"</f>
        <v>00532270</v>
      </c>
      <c r="H1615">
        <v>43.2</v>
      </c>
      <c r="I1615">
        <v>0</v>
      </c>
      <c r="L1615">
        <v>4</v>
      </c>
      <c r="M1615">
        <v>0</v>
      </c>
      <c r="N1615">
        <v>4</v>
      </c>
      <c r="O1615">
        <v>0</v>
      </c>
      <c r="P1615">
        <v>47.2</v>
      </c>
      <c r="Q1615">
        <v>0</v>
      </c>
      <c r="R1615">
        <v>0</v>
      </c>
      <c r="S1615">
        <v>3</v>
      </c>
      <c r="T1615">
        <v>0</v>
      </c>
      <c r="U1615" s="1">
        <v>0</v>
      </c>
      <c r="V1615">
        <v>50.2</v>
      </c>
    </row>
    <row r="1616" spans="1:22" ht="15">
      <c r="A1616" s="4">
        <v>1609</v>
      </c>
      <c r="B1616">
        <v>2674</v>
      </c>
      <c r="C1616" t="s">
        <v>3610</v>
      </c>
      <c r="D1616" t="s">
        <v>179</v>
      </c>
      <c r="E1616" t="s">
        <v>11</v>
      </c>
      <c r="F1616" t="s">
        <v>3611</v>
      </c>
      <c r="G1616" t="str">
        <f>"00514510"</f>
        <v>00514510</v>
      </c>
      <c r="H1616">
        <v>43.2</v>
      </c>
      <c r="I1616">
        <v>0</v>
      </c>
      <c r="M1616">
        <v>4</v>
      </c>
      <c r="N1616">
        <v>0</v>
      </c>
      <c r="O1616">
        <v>0</v>
      </c>
      <c r="P1616">
        <v>47.2</v>
      </c>
      <c r="Q1616">
        <v>0</v>
      </c>
      <c r="R1616">
        <v>0</v>
      </c>
      <c r="S1616">
        <v>3</v>
      </c>
      <c r="T1616">
        <v>0</v>
      </c>
      <c r="U1616" s="1">
        <v>0</v>
      </c>
      <c r="V1616">
        <v>50.2</v>
      </c>
    </row>
    <row r="1617" spans="1:22" ht="15">
      <c r="A1617" s="4">
        <v>1610</v>
      </c>
      <c r="B1617">
        <v>748</v>
      </c>
      <c r="C1617" t="s">
        <v>3612</v>
      </c>
      <c r="D1617" t="s">
        <v>68</v>
      </c>
      <c r="E1617" t="s">
        <v>90</v>
      </c>
      <c r="F1617" t="s">
        <v>3613</v>
      </c>
      <c r="G1617" t="str">
        <f>"00517374"</f>
        <v>00517374</v>
      </c>
      <c r="H1617">
        <v>43.2</v>
      </c>
      <c r="I1617">
        <v>0</v>
      </c>
      <c r="M1617">
        <v>4</v>
      </c>
      <c r="N1617">
        <v>0</v>
      </c>
      <c r="O1617">
        <v>0</v>
      </c>
      <c r="P1617">
        <v>47.2</v>
      </c>
      <c r="Q1617">
        <v>0</v>
      </c>
      <c r="R1617">
        <v>0</v>
      </c>
      <c r="S1617">
        <v>3</v>
      </c>
      <c r="T1617">
        <v>0</v>
      </c>
      <c r="U1617" s="1">
        <v>0</v>
      </c>
      <c r="V1617">
        <v>50.2</v>
      </c>
    </row>
    <row r="1618" spans="1:22" ht="15">
      <c r="A1618" s="4">
        <v>1611</v>
      </c>
      <c r="B1618">
        <v>1386</v>
      </c>
      <c r="C1618" t="s">
        <v>3614</v>
      </c>
      <c r="D1618" t="s">
        <v>1034</v>
      </c>
      <c r="E1618" t="s">
        <v>528</v>
      </c>
      <c r="F1618" t="s">
        <v>3615</v>
      </c>
      <c r="G1618" t="str">
        <f>"00513306"</f>
        <v>00513306</v>
      </c>
      <c r="H1618">
        <v>7.2</v>
      </c>
      <c r="I1618">
        <v>0</v>
      </c>
      <c r="J1618">
        <v>8</v>
      </c>
      <c r="M1618">
        <v>4</v>
      </c>
      <c r="N1618">
        <v>8</v>
      </c>
      <c r="O1618">
        <v>2</v>
      </c>
      <c r="P1618">
        <v>21.2</v>
      </c>
      <c r="Q1618">
        <v>29</v>
      </c>
      <c r="R1618">
        <v>29</v>
      </c>
      <c r="S1618">
        <v>0</v>
      </c>
      <c r="T1618">
        <v>0</v>
      </c>
      <c r="U1618" s="1">
        <v>0</v>
      </c>
      <c r="V1618">
        <v>50.2</v>
      </c>
    </row>
    <row r="1619" spans="1:22" ht="15">
      <c r="A1619" s="4">
        <v>1612</v>
      </c>
      <c r="B1619">
        <v>2368</v>
      </c>
      <c r="C1619" t="s">
        <v>3616</v>
      </c>
      <c r="D1619" t="s">
        <v>40</v>
      </c>
      <c r="E1619" t="s">
        <v>270</v>
      </c>
      <c r="F1619" t="s">
        <v>3617</v>
      </c>
      <c r="G1619" t="str">
        <f>"00478064"</f>
        <v>00478064</v>
      </c>
      <c r="H1619">
        <v>43.2</v>
      </c>
      <c r="I1619">
        <v>0</v>
      </c>
      <c r="M1619">
        <v>4</v>
      </c>
      <c r="N1619">
        <v>0</v>
      </c>
      <c r="O1619">
        <v>0</v>
      </c>
      <c r="P1619">
        <v>47.2</v>
      </c>
      <c r="Q1619">
        <v>0</v>
      </c>
      <c r="R1619">
        <v>0</v>
      </c>
      <c r="S1619">
        <v>3</v>
      </c>
      <c r="T1619">
        <v>0</v>
      </c>
      <c r="U1619" s="1">
        <v>0</v>
      </c>
      <c r="V1619">
        <v>50.2</v>
      </c>
    </row>
    <row r="1620" spans="1:22" ht="15">
      <c r="A1620" s="4">
        <v>1613</v>
      </c>
      <c r="B1620">
        <v>1036</v>
      </c>
      <c r="C1620" t="s">
        <v>3618</v>
      </c>
      <c r="D1620" t="s">
        <v>3619</v>
      </c>
      <c r="E1620" t="s">
        <v>3620</v>
      </c>
      <c r="F1620" t="s">
        <v>3621</v>
      </c>
      <c r="G1620" t="str">
        <f>"201603000554"</f>
        <v>201603000554</v>
      </c>
      <c r="H1620">
        <v>7.2</v>
      </c>
      <c r="I1620">
        <v>0</v>
      </c>
      <c r="L1620">
        <v>4</v>
      </c>
      <c r="M1620">
        <v>4</v>
      </c>
      <c r="N1620">
        <v>4</v>
      </c>
      <c r="O1620">
        <v>0</v>
      </c>
      <c r="P1620">
        <v>15.2</v>
      </c>
      <c r="Q1620">
        <v>6</v>
      </c>
      <c r="R1620">
        <v>6</v>
      </c>
      <c r="S1620">
        <v>9</v>
      </c>
      <c r="T1620">
        <v>20</v>
      </c>
      <c r="U1620" s="1">
        <v>0</v>
      </c>
      <c r="V1620">
        <v>50.2</v>
      </c>
    </row>
    <row r="1621" spans="1:22" ht="15">
      <c r="A1621" s="4">
        <v>1614</v>
      </c>
      <c r="B1621">
        <v>2356</v>
      </c>
      <c r="C1621" t="s">
        <v>669</v>
      </c>
      <c r="D1621" t="s">
        <v>14</v>
      </c>
      <c r="E1621" t="s">
        <v>19</v>
      </c>
      <c r="F1621" t="s">
        <v>3622</v>
      </c>
      <c r="G1621" t="str">
        <f>"200712004849"</f>
        <v>200712004849</v>
      </c>
      <c r="H1621">
        <v>7.2</v>
      </c>
      <c r="I1621">
        <v>10</v>
      </c>
      <c r="L1621">
        <v>4</v>
      </c>
      <c r="M1621">
        <v>4</v>
      </c>
      <c r="N1621">
        <v>4</v>
      </c>
      <c r="O1621">
        <v>0</v>
      </c>
      <c r="P1621">
        <v>25.2</v>
      </c>
      <c r="Q1621">
        <v>25</v>
      </c>
      <c r="R1621">
        <v>25</v>
      </c>
      <c r="S1621">
        <v>0</v>
      </c>
      <c r="T1621">
        <v>0</v>
      </c>
      <c r="U1621" s="1">
        <v>0</v>
      </c>
      <c r="V1621">
        <v>50.2</v>
      </c>
    </row>
    <row r="1622" spans="1:22" ht="15">
      <c r="A1622" s="4">
        <v>1615</v>
      </c>
      <c r="B1622">
        <v>983</v>
      </c>
      <c r="C1622" t="s">
        <v>2106</v>
      </c>
      <c r="D1622" t="s">
        <v>3623</v>
      </c>
      <c r="E1622" t="s">
        <v>3624</v>
      </c>
      <c r="F1622" t="s">
        <v>3625</v>
      </c>
      <c r="G1622" t="str">
        <f>"00523745"</f>
        <v>00523745</v>
      </c>
      <c r="H1622">
        <v>43.2</v>
      </c>
      <c r="I1622">
        <v>0</v>
      </c>
      <c r="M1622">
        <v>4</v>
      </c>
      <c r="N1622">
        <v>0</v>
      </c>
      <c r="O1622">
        <v>0</v>
      </c>
      <c r="P1622">
        <v>47.2</v>
      </c>
      <c r="Q1622">
        <v>0</v>
      </c>
      <c r="R1622">
        <v>0</v>
      </c>
      <c r="S1622">
        <v>3</v>
      </c>
      <c r="T1622">
        <v>0</v>
      </c>
      <c r="U1622" s="1">
        <v>0</v>
      </c>
      <c r="V1622">
        <v>50.2</v>
      </c>
    </row>
    <row r="1623" spans="1:22" ht="15">
      <c r="A1623" s="4">
        <v>1616</v>
      </c>
      <c r="B1623">
        <v>1637</v>
      </c>
      <c r="C1623" t="s">
        <v>3626</v>
      </c>
      <c r="D1623" t="s">
        <v>58</v>
      </c>
      <c r="E1623" t="s">
        <v>99</v>
      </c>
      <c r="F1623" t="s">
        <v>3627</v>
      </c>
      <c r="G1623" t="str">
        <f>"00527494"</f>
        <v>00527494</v>
      </c>
      <c r="H1623">
        <v>38</v>
      </c>
      <c r="I1623">
        <v>0</v>
      </c>
      <c r="K1623">
        <v>6</v>
      </c>
      <c r="M1623">
        <v>0</v>
      </c>
      <c r="N1623">
        <v>6</v>
      </c>
      <c r="O1623">
        <v>0</v>
      </c>
      <c r="P1623">
        <v>44</v>
      </c>
      <c r="Q1623">
        <v>0</v>
      </c>
      <c r="R1623">
        <v>0</v>
      </c>
      <c r="S1623">
        <v>6</v>
      </c>
      <c r="T1623">
        <v>0</v>
      </c>
      <c r="U1623" s="1">
        <v>0</v>
      </c>
      <c r="V1623">
        <v>50</v>
      </c>
    </row>
    <row r="1624" spans="1:22" ht="15">
      <c r="A1624" s="4">
        <v>1617</v>
      </c>
      <c r="B1624">
        <v>976</v>
      </c>
      <c r="C1624" t="s">
        <v>192</v>
      </c>
      <c r="D1624" t="s">
        <v>124</v>
      </c>
      <c r="E1624" t="s">
        <v>15</v>
      </c>
      <c r="F1624" t="s">
        <v>3628</v>
      </c>
      <c r="G1624" t="str">
        <f>"00530489"</f>
        <v>00530489</v>
      </c>
      <c r="H1624">
        <v>36</v>
      </c>
      <c r="I1624">
        <v>10</v>
      </c>
      <c r="M1624">
        <v>4</v>
      </c>
      <c r="N1624">
        <v>0</v>
      </c>
      <c r="O1624">
        <v>0</v>
      </c>
      <c r="P1624">
        <v>50</v>
      </c>
      <c r="Q1624">
        <v>0</v>
      </c>
      <c r="R1624">
        <v>0</v>
      </c>
      <c r="S1624">
        <v>0</v>
      </c>
      <c r="T1624">
        <v>0</v>
      </c>
      <c r="U1624" s="1">
        <v>0</v>
      </c>
      <c r="V1624">
        <v>50</v>
      </c>
    </row>
    <row r="1625" spans="1:22" ht="15">
      <c r="A1625" s="4">
        <v>1618</v>
      </c>
      <c r="B1625">
        <v>282</v>
      </c>
      <c r="C1625" t="s">
        <v>3629</v>
      </c>
      <c r="D1625" t="s">
        <v>477</v>
      </c>
      <c r="E1625" t="s">
        <v>1180</v>
      </c>
      <c r="F1625" t="s">
        <v>3630</v>
      </c>
      <c r="G1625" t="str">
        <f>"00150228"</f>
        <v>00150228</v>
      </c>
      <c r="H1625">
        <v>36</v>
      </c>
      <c r="I1625">
        <v>0</v>
      </c>
      <c r="L1625">
        <v>4</v>
      </c>
      <c r="M1625">
        <v>4</v>
      </c>
      <c r="N1625">
        <v>4</v>
      </c>
      <c r="O1625">
        <v>0</v>
      </c>
      <c r="P1625">
        <v>44</v>
      </c>
      <c r="Q1625">
        <v>0</v>
      </c>
      <c r="R1625">
        <v>0</v>
      </c>
      <c r="S1625">
        <v>6</v>
      </c>
      <c r="T1625">
        <v>0</v>
      </c>
      <c r="U1625" s="1">
        <v>0</v>
      </c>
      <c r="V1625">
        <v>50</v>
      </c>
    </row>
    <row r="1626" spans="1:22" ht="15">
      <c r="A1626" s="4">
        <v>1619</v>
      </c>
      <c r="B1626">
        <v>1061</v>
      </c>
      <c r="C1626" t="s">
        <v>838</v>
      </c>
      <c r="D1626" t="s">
        <v>29</v>
      </c>
      <c r="E1626" t="s">
        <v>712</v>
      </c>
      <c r="F1626" t="s">
        <v>3631</v>
      </c>
      <c r="G1626" t="str">
        <f>"201511007314"</f>
        <v>201511007314</v>
      </c>
      <c r="H1626">
        <v>36</v>
      </c>
      <c r="I1626">
        <v>0</v>
      </c>
      <c r="J1626">
        <v>8</v>
      </c>
      <c r="M1626">
        <v>4</v>
      </c>
      <c r="N1626">
        <v>8</v>
      </c>
      <c r="O1626">
        <v>2</v>
      </c>
      <c r="P1626">
        <v>50</v>
      </c>
      <c r="Q1626">
        <v>0</v>
      </c>
      <c r="R1626">
        <v>0</v>
      </c>
      <c r="S1626">
        <v>0</v>
      </c>
      <c r="T1626">
        <v>0</v>
      </c>
      <c r="U1626" s="1">
        <v>0</v>
      </c>
      <c r="V1626">
        <v>50</v>
      </c>
    </row>
    <row r="1627" spans="1:22" ht="15">
      <c r="A1627" s="4">
        <v>1620</v>
      </c>
      <c r="B1627">
        <v>2567</v>
      </c>
      <c r="C1627" t="s">
        <v>3632</v>
      </c>
      <c r="D1627" t="s">
        <v>3633</v>
      </c>
      <c r="E1627" t="s">
        <v>344</v>
      </c>
      <c r="F1627" t="s">
        <v>3634</v>
      </c>
      <c r="G1627" t="str">
        <f>"200806000352"</f>
        <v>200806000352</v>
      </c>
      <c r="H1627">
        <v>36</v>
      </c>
      <c r="I1627">
        <v>0</v>
      </c>
      <c r="L1627">
        <v>4</v>
      </c>
      <c r="M1627">
        <v>4</v>
      </c>
      <c r="N1627">
        <v>4</v>
      </c>
      <c r="O1627">
        <v>0</v>
      </c>
      <c r="P1627">
        <v>44</v>
      </c>
      <c r="Q1627">
        <v>3</v>
      </c>
      <c r="R1627">
        <v>3</v>
      </c>
      <c r="S1627">
        <v>3</v>
      </c>
      <c r="T1627">
        <v>0</v>
      </c>
      <c r="U1627" s="1">
        <v>0</v>
      </c>
      <c r="V1627">
        <v>50</v>
      </c>
    </row>
    <row r="1628" spans="1:22" ht="15">
      <c r="A1628" s="4">
        <v>1621</v>
      </c>
      <c r="B1628">
        <v>71</v>
      </c>
      <c r="C1628" t="s">
        <v>3635</v>
      </c>
      <c r="D1628" t="s">
        <v>121</v>
      </c>
      <c r="E1628" t="s">
        <v>3636</v>
      </c>
      <c r="F1628" t="s">
        <v>3637</v>
      </c>
      <c r="G1628" t="str">
        <f>"201511023504"</f>
        <v>201511023504</v>
      </c>
      <c r="H1628">
        <v>36</v>
      </c>
      <c r="I1628">
        <v>10</v>
      </c>
      <c r="M1628">
        <v>4</v>
      </c>
      <c r="N1628">
        <v>0</v>
      </c>
      <c r="O1628">
        <v>0</v>
      </c>
      <c r="P1628">
        <v>50</v>
      </c>
      <c r="Q1628">
        <v>0</v>
      </c>
      <c r="R1628">
        <v>0</v>
      </c>
      <c r="S1628">
        <v>0</v>
      </c>
      <c r="T1628">
        <v>0</v>
      </c>
      <c r="U1628" s="1">
        <v>0</v>
      </c>
      <c r="V1628">
        <v>50</v>
      </c>
    </row>
    <row r="1629" spans="1:22" ht="15">
      <c r="A1629" s="4">
        <v>1622</v>
      </c>
      <c r="B1629">
        <v>427</v>
      </c>
      <c r="C1629" t="s">
        <v>3638</v>
      </c>
      <c r="D1629" t="s">
        <v>127</v>
      </c>
      <c r="E1629" t="s">
        <v>19</v>
      </c>
      <c r="F1629" t="s">
        <v>3639</v>
      </c>
      <c r="G1629" t="str">
        <f>"00520654"</f>
        <v>00520654</v>
      </c>
      <c r="H1629">
        <v>40</v>
      </c>
      <c r="I1629">
        <v>0</v>
      </c>
      <c r="L1629">
        <v>4</v>
      </c>
      <c r="M1629">
        <v>0</v>
      </c>
      <c r="N1629">
        <v>4</v>
      </c>
      <c r="O1629">
        <v>0</v>
      </c>
      <c r="P1629">
        <v>44</v>
      </c>
      <c r="Q1629">
        <v>0</v>
      </c>
      <c r="R1629">
        <v>0</v>
      </c>
      <c r="S1629">
        <v>6</v>
      </c>
      <c r="T1629">
        <v>0</v>
      </c>
      <c r="U1629" s="1">
        <v>0</v>
      </c>
      <c r="V1629">
        <v>50</v>
      </c>
    </row>
    <row r="1630" spans="1:22" ht="15">
      <c r="A1630" s="4">
        <v>1623</v>
      </c>
      <c r="B1630">
        <v>2149</v>
      </c>
      <c r="C1630" t="s">
        <v>3640</v>
      </c>
      <c r="D1630" t="s">
        <v>453</v>
      </c>
      <c r="E1630" t="s">
        <v>15</v>
      </c>
      <c r="F1630" t="s">
        <v>3641</v>
      </c>
      <c r="G1630" t="str">
        <f>"00485521"</f>
        <v>00485521</v>
      </c>
      <c r="H1630">
        <v>36</v>
      </c>
      <c r="I1630">
        <v>0</v>
      </c>
      <c r="L1630">
        <v>4</v>
      </c>
      <c r="M1630">
        <v>4</v>
      </c>
      <c r="N1630">
        <v>4</v>
      </c>
      <c r="O1630">
        <v>0</v>
      </c>
      <c r="P1630">
        <v>44</v>
      </c>
      <c r="Q1630">
        <v>6</v>
      </c>
      <c r="R1630">
        <v>6</v>
      </c>
      <c r="S1630">
        <v>0</v>
      </c>
      <c r="T1630">
        <v>0</v>
      </c>
      <c r="U1630" s="1">
        <v>0</v>
      </c>
      <c r="V1630">
        <v>50</v>
      </c>
    </row>
    <row r="1631" spans="1:22" ht="15">
      <c r="A1631" s="4">
        <v>1624</v>
      </c>
      <c r="B1631">
        <v>3210</v>
      </c>
      <c r="C1631" t="s">
        <v>3642</v>
      </c>
      <c r="D1631" t="s">
        <v>3643</v>
      </c>
      <c r="E1631" t="s">
        <v>23</v>
      </c>
      <c r="F1631" t="s">
        <v>3644</v>
      </c>
      <c r="G1631" t="str">
        <f>"00530852"</f>
        <v>00530852</v>
      </c>
      <c r="H1631">
        <v>36</v>
      </c>
      <c r="I1631">
        <v>0</v>
      </c>
      <c r="L1631">
        <v>4</v>
      </c>
      <c r="M1631">
        <v>4</v>
      </c>
      <c r="N1631">
        <v>4</v>
      </c>
      <c r="O1631">
        <v>0</v>
      </c>
      <c r="P1631">
        <v>44</v>
      </c>
      <c r="Q1631">
        <v>6</v>
      </c>
      <c r="R1631">
        <v>6</v>
      </c>
      <c r="S1631">
        <v>0</v>
      </c>
      <c r="T1631">
        <v>0</v>
      </c>
      <c r="U1631" s="1">
        <v>0</v>
      </c>
      <c r="V1631">
        <v>50</v>
      </c>
    </row>
    <row r="1632" spans="1:22" ht="15">
      <c r="A1632" s="4">
        <v>1625</v>
      </c>
      <c r="B1632">
        <v>1504</v>
      </c>
      <c r="C1632" t="s">
        <v>613</v>
      </c>
      <c r="D1632" t="s">
        <v>14</v>
      </c>
      <c r="E1632" t="s">
        <v>644</v>
      </c>
      <c r="F1632" t="s">
        <v>3645</v>
      </c>
      <c r="G1632" t="str">
        <f>"00308337"</f>
        <v>00308337</v>
      </c>
      <c r="H1632">
        <v>36</v>
      </c>
      <c r="I1632">
        <v>0</v>
      </c>
      <c r="L1632">
        <v>4</v>
      </c>
      <c r="M1632">
        <v>4</v>
      </c>
      <c r="N1632">
        <v>4</v>
      </c>
      <c r="O1632">
        <v>0</v>
      </c>
      <c r="P1632">
        <v>44</v>
      </c>
      <c r="Q1632">
        <v>0</v>
      </c>
      <c r="R1632">
        <v>0</v>
      </c>
      <c r="S1632">
        <v>6</v>
      </c>
      <c r="T1632">
        <v>0</v>
      </c>
      <c r="U1632" s="1">
        <v>0</v>
      </c>
      <c r="V1632">
        <v>50</v>
      </c>
    </row>
    <row r="1633" spans="1:22" ht="15">
      <c r="A1633" s="4">
        <v>1626</v>
      </c>
      <c r="B1633">
        <v>2623</v>
      </c>
      <c r="C1633" t="s">
        <v>3646</v>
      </c>
      <c r="D1633" t="s">
        <v>89</v>
      </c>
      <c r="E1633" t="s">
        <v>11</v>
      </c>
      <c r="F1633" t="s">
        <v>3647</v>
      </c>
      <c r="G1633" t="str">
        <f>"00533815"</f>
        <v>00533815</v>
      </c>
      <c r="H1633">
        <v>36</v>
      </c>
      <c r="I1633">
        <v>0</v>
      </c>
      <c r="L1633">
        <v>4</v>
      </c>
      <c r="M1633">
        <v>4</v>
      </c>
      <c r="N1633">
        <v>4</v>
      </c>
      <c r="O1633">
        <v>0</v>
      </c>
      <c r="P1633">
        <v>44</v>
      </c>
      <c r="Q1633">
        <v>0</v>
      </c>
      <c r="R1633">
        <v>0</v>
      </c>
      <c r="S1633">
        <v>6</v>
      </c>
      <c r="T1633">
        <v>0</v>
      </c>
      <c r="U1633" s="1">
        <v>0</v>
      </c>
      <c r="V1633">
        <v>50</v>
      </c>
    </row>
    <row r="1634" spans="1:22" ht="15">
      <c r="A1634" s="4">
        <v>1627</v>
      </c>
      <c r="B1634">
        <v>3344</v>
      </c>
      <c r="C1634" t="s">
        <v>3648</v>
      </c>
      <c r="D1634" t="s">
        <v>14</v>
      </c>
      <c r="E1634" t="s">
        <v>59</v>
      </c>
      <c r="F1634" t="s">
        <v>3649</v>
      </c>
      <c r="G1634" t="str">
        <f>"00273099"</f>
        <v>00273099</v>
      </c>
      <c r="H1634">
        <v>40</v>
      </c>
      <c r="I1634">
        <v>0</v>
      </c>
      <c r="M1634">
        <v>4</v>
      </c>
      <c r="N1634">
        <v>0</v>
      </c>
      <c r="O1634">
        <v>0</v>
      </c>
      <c r="P1634">
        <v>44</v>
      </c>
      <c r="Q1634">
        <v>0</v>
      </c>
      <c r="R1634">
        <v>0</v>
      </c>
      <c r="S1634">
        <v>6</v>
      </c>
      <c r="T1634">
        <v>0</v>
      </c>
      <c r="U1634" s="1">
        <v>0</v>
      </c>
      <c r="V1634">
        <v>50</v>
      </c>
    </row>
    <row r="1635" spans="1:22" ht="15">
      <c r="A1635" s="4">
        <v>1628</v>
      </c>
      <c r="B1635">
        <v>2764</v>
      </c>
      <c r="C1635" t="s">
        <v>3650</v>
      </c>
      <c r="D1635" t="s">
        <v>3651</v>
      </c>
      <c r="E1635" t="s">
        <v>225</v>
      </c>
      <c r="F1635" t="s">
        <v>3652</v>
      </c>
      <c r="G1635" t="str">
        <f>"00459708"</f>
        <v>00459708</v>
      </c>
      <c r="H1635">
        <v>36</v>
      </c>
      <c r="I1635">
        <v>0</v>
      </c>
      <c r="L1635">
        <v>4</v>
      </c>
      <c r="M1635">
        <v>4</v>
      </c>
      <c r="N1635">
        <v>4</v>
      </c>
      <c r="O1635">
        <v>0</v>
      </c>
      <c r="P1635">
        <v>44</v>
      </c>
      <c r="Q1635">
        <v>6</v>
      </c>
      <c r="R1635">
        <v>6</v>
      </c>
      <c r="S1635">
        <v>0</v>
      </c>
      <c r="T1635">
        <v>0</v>
      </c>
      <c r="U1635" s="1">
        <v>0</v>
      </c>
      <c r="V1635">
        <v>50</v>
      </c>
    </row>
    <row r="1636" spans="1:22" ht="15">
      <c r="A1636" s="4">
        <v>1629</v>
      </c>
      <c r="B1636">
        <v>2427</v>
      </c>
      <c r="C1636" t="s">
        <v>3653</v>
      </c>
      <c r="D1636" t="s">
        <v>3654</v>
      </c>
      <c r="E1636" t="s">
        <v>201</v>
      </c>
      <c r="F1636" t="s">
        <v>3655</v>
      </c>
      <c r="G1636" t="str">
        <f>"00161150"</f>
        <v>00161150</v>
      </c>
      <c r="H1636">
        <v>33</v>
      </c>
      <c r="I1636">
        <v>0</v>
      </c>
      <c r="M1636">
        <v>4</v>
      </c>
      <c r="N1636">
        <v>0</v>
      </c>
      <c r="O1636">
        <v>2</v>
      </c>
      <c r="P1636">
        <v>39</v>
      </c>
      <c r="Q1636">
        <v>11</v>
      </c>
      <c r="R1636">
        <v>11</v>
      </c>
      <c r="S1636">
        <v>0</v>
      </c>
      <c r="T1636">
        <v>0</v>
      </c>
      <c r="U1636" s="1">
        <v>0</v>
      </c>
      <c r="V1636">
        <v>50</v>
      </c>
    </row>
    <row r="1637" spans="1:22" ht="15">
      <c r="A1637" s="4">
        <v>1630</v>
      </c>
      <c r="B1637">
        <v>355</v>
      </c>
      <c r="C1637" t="s">
        <v>3656</v>
      </c>
      <c r="D1637" t="s">
        <v>58</v>
      </c>
      <c r="E1637" t="s">
        <v>295</v>
      </c>
      <c r="F1637" t="s">
        <v>3657</v>
      </c>
      <c r="G1637" t="str">
        <f>"201412001030"</f>
        <v>201412001030</v>
      </c>
      <c r="H1637">
        <v>40</v>
      </c>
      <c r="I1637">
        <v>0</v>
      </c>
      <c r="M1637">
        <v>4</v>
      </c>
      <c r="N1637">
        <v>0</v>
      </c>
      <c r="O1637">
        <v>0</v>
      </c>
      <c r="P1637">
        <v>44</v>
      </c>
      <c r="Q1637">
        <v>0</v>
      </c>
      <c r="R1637">
        <v>0</v>
      </c>
      <c r="S1637">
        <v>6</v>
      </c>
      <c r="T1637">
        <v>0</v>
      </c>
      <c r="U1637" s="1">
        <v>0</v>
      </c>
      <c r="V1637">
        <v>50</v>
      </c>
    </row>
    <row r="1638" spans="1:22" ht="15">
      <c r="A1638" s="4">
        <v>1631</v>
      </c>
      <c r="B1638">
        <v>1228</v>
      </c>
      <c r="C1638" t="s">
        <v>3658</v>
      </c>
      <c r="D1638" t="s">
        <v>3659</v>
      </c>
      <c r="E1638" t="s">
        <v>344</v>
      </c>
      <c r="F1638">
        <v>81721</v>
      </c>
      <c r="G1638" t="str">
        <f>"00197994"</f>
        <v>00197994</v>
      </c>
      <c r="H1638">
        <v>36</v>
      </c>
      <c r="I1638">
        <v>0</v>
      </c>
      <c r="J1638">
        <v>8</v>
      </c>
      <c r="M1638">
        <v>0</v>
      </c>
      <c r="N1638">
        <v>8</v>
      </c>
      <c r="O1638">
        <v>0</v>
      </c>
      <c r="P1638">
        <v>44</v>
      </c>
      <c r="Q1638">
        <v>0</v>
      </c>
      <c r="R1638">
        <v>0</v>
      </c>
      <c r="S1638">
        <v>6</v>
      </c>
      <c r="T1638">
        <v>0</v>
      </c>
      <c r="U1638" s="1">
        <v>0</v>
      </c>
      <c r="V1638">
        <v>50</v>
      </c>
    </row>
    <row r="1639" spans="1:22" ht="15">
      <c r="A1639" s="4">
        <v>1632</v>
      </c>
      <c r="B1639">
        <v>214</v>
      </c>
      <c r="C1639" t="s">
        <v>3290</v>
      </c>
      <c r="D1639" t="s">
        <v>3291</v>
      </c>
      <c r="E1639" t="s">
        <v>23</v>
      </c>
      <c r="F1639" t="s">
        <v>3660</v>
      </c>
      <c r="G1639" t="str">
        <f>"00002558"</f>
        <v>00002558</v>
      </c>
      <c r="H1639">
        <v>40</v>
      </c>
      <c r="I1639">
        <v>0</v>
      </c>
      <c r="M1639">
        <v>4</v>
      </c>
      <c r="N1639">
        <v>0</v>
      </c>
      <c r="O1639">
        <v>0</v>
      </c>
      <c r="P1639">
        <v>44</v>
      </c>
      <c r="Q1639">
        <v>0</v>
      </c>
      <c r="R1639">
        <v>0</v>
      </c>
      <c r="S1639">
        <v>6</v>
      </c>
      <c r="T1639">
        <v>0</v>
      </c>
      <c r="U1639" s="1">
        <v>0</v>
      </c>
      <c r="V1639">
        <v>50</v>
      </c>
    </row>
    <row r="1640" spans="1:22" ht="15">
      <c r="A1640" s="4">
        <v>1633</v>
      </c>
      <c r="B1640">
        <v>3072</v>
      </c>
      <c r="C1640" t="s">
        <v>3661</v>
      </c>
      <c r="D1640" t="s">
        <v>211</v>
      </c>
      <c r="E1640" t="s">
        <v>1497</v>
      </c>
      <c r="F1640" t="s">
        <v>3662</v>
      </c>
      <c r="G1640" t="str">
        <f>"00421953"</f>
        <v>00421953</v>
      </c>
      <c r="H1640">
        <v>36</v>
      </c>
      <c r="I1640">
        <v>0</v>
      </c>
      <c r="L1640">
        <v>4</v>
      </c>
      <c r="M1640">
        <v>4</v>
      </c>
      <c r="N1640">
        <v>4</v>
      </c>
      <c r="O1640">
        <v>0</v>
      </c>
      <c r="P1640">
        <v>44</v>
      </c>
      <c r="Q1640">
        <v>6</v>
      </c>
      <c r="R1640">
        <v>6</v>
      </c>
      <c r="S1640">
        <v>0</v>
      </c>
      <c r="T1640">
        <v>0</v>
      </c>
      <c r="U1640" s="1">
        <v>0</v>
      </c>
      <c r="V1640">
        <v>50</v>
      </c>
    </row>
    <row r="1641" spans="1:22" ht="15">
      <c r="A1641" s="4">
        <v>1634</v>
      </c>
      <c r="B1641">
        <v>356</v>
      </c>
      <c r="C1641" t="s">
        <v>3663</v>
      </c>
      <c r="D1641" t="s">
        <v>643</v>
      </c>
      <c r="E1641" t="s">
        <v>11</v>
      </c>
      <c r="F1641" t="s">
        <v>3664</v>
      </c>
      <c r="G1641" t="str">
        <f>"201512001930"</f>
        <v>201512001930</v>
      </c>
      <c r="H1641">
        <v>40</v>
      </c>
      <c r="I1641">
        <v>0</v>
      </c>
      <c r="M1641">
        <v>4</v>
      </c>
      <c r="N1641">
        <v>0</v>
      </c>
      <c r="O1641">
        <v>0</v>
      </c>
      <c r="P1641">
        <v>44</v>
      </c>
      <c r="Q1641">
        <v>0</v>
      </c>
      <c r="R1641">
        <v>0</v>
      </c>
      <c r="S1641">
        <v>6</v>
      </c>
      <c r="T1641">
        <v>0</v>
      </c>
      <c r="U1641" s="1">
        <v>0</v>
      </c>
      <c r="V1641">
        <v>50</v>
      </c>
    </row>
    <row r="1642" spans="1:22" ht="15">
      <c r="A1642" s="4">
        <v>1635</v>
      </c>
      <c r="B1642">
        <v>1387</v>
      </c>
      <c r="C1642" t="s">
        <v>3665</v>
      </c>
      <c r="D1642" t="s">
        <v>124</v>
      </c>
      <c r="E1642" t="s">
        <v>51</v>
      </c>
      <c r="F1642" t="s">
        <v>3666</v>
      </c>
      <c r="G1642" t="str">
        <f>"00530822"</f>
        <v>00530822</v>
      </c>
      <c r="H1642">
        <v>40</v>
      </c>
      <c r="I1642">
        <v>0</v>
      </c>
      <c r="L1642">
        <v>4</v>
      </c>
      <c r="M1642">
        <v>0</v>
      </c>
      <c r="N1642">
        <v>4</v>
      </c>
      <c r="O1642">
        <v>0</v>
      </c>
      <c r="P1642">
        <v>44</v>
      </c>
      <c r="Q1642">
        <v>0</v>
      </c>
      <c r="R1642">
        <v>0</v>
      </c>
      <c r="S1642">
        <v>6</v>
      </c>
      <c r="T1642">
        <v>0</v>
      </c>
      <c r="U1642" s="1">
        <v>0</v>
      </c>
      <c r="V1642">
        <v>50</v>
      </c>
    </row>
    <row r="1643" spans="1:22" ht="15">
      <c r="A1643" s="4">
        <v>1636</v>
      </c>
      <c r="B1643">
        <v>2148</v>
      </c>
      <c r="C1643" t="s">
        <v>3667</v>
      </c>
      <c r="D1643" t="s">
        <v>121</v>
      </c>
      <c r="E1643" t="s">
        <v>514</v>
      </c>
      <c r="F1643" t="s">
        <v>3668</v>
      </c>
      <c r="G1643" t="str">
        <f>"00513813"</f>
        <v>00513813</v>
      </c>
      <c r="H1643">
        <v>36.88</v>
      </c>
      <c r="I1643">
        <v>10</v>
      </c>
      <c r="M1643">
        <v>0</v>
      </c>
      <c r="N1643">
        <v>0</v>
      </c>
      <c r="O1643">
        <v>0</v>
      </c>
      <c r="P1643">
        <v>46.88</v>
      </c>
      <c r="Q1643">
        <v>0</v>
      </c>
      <c r="R1643">
        <v>0</v>
      </c>
      <c r="S1643">
        <v>3</v>
      </c>
      <c r="T1643">
        <v>0</v>
      </c>
      <c r="U1643" s="1">
        <v>0</v>
      </c>
      <c r="V1643">
        <v>49.88</v>
      </c>
    </row>
    <row r="1644" spans="1:22" ht="15">
      <c r="A1644" s="4">
        <v>1637</v>
      </c>
      <c r="B1644">
        <v>1716</v>
      </c>
      <c r="C1644" t="s">
        <v>1701</v>
      </c>
      <c r="D1644" t="s">
        <v>160</v>
      </c>
      <c r="E1644" t="s">
        <v>83</v>
      </c>
      <c r="F1644" t="s">
        <v>3669</v>
      </c>
      <c r="G1644" t="str">
        <f>"00380904"</f>
        <v>00380904</v>
      </c>
      <c r="H1644">
        <v>28.8</v>
      </c>
      <c r="I1644">
        <v>0</v>
      </c>
      <c r="M1644">
        <v>4</v>
      </c>
      <c r="N1644">
        <v>0</v>
      </c>
      <c r="O1644">
        <v>0</v>
      </c>
      <c r="P1644">
        <v>32.8</v>
      </c>
      <c r="Q1644">
        <v>8</v>
      </c>
      <c r="R1644">
        <v>8</v>
      </c>
      <c r="S1644">
        <v>9</v>
      </c>
      <c r="T1644">
        <v>0</v>
      </c>
      <c r="U1644" s="1">
        <v>0</v>
      </c>
      <c r="V1644">
        <v>49.8</v>
      </c>
    </row>
    <row r="1645" spans="1:22" ht="15">
      <c r="A1645" s="4">
        <v>1638</v>
      </c>
      <c r="B1645">
        <v>2904</v>
      </c>
      <c r="C1645" t="s">
        <v>3670</v>
      </c>
      <c r="D1645" t="s">
        <v>89</v>
      </c>
      <c r="E1645" t="s">
        <v>237</v>
      </c>
      <c r="F1645" t="s">
        <v>3671</v>
      </c>
      <c r="G1645" t="str">
        <f>"00501770"</f>
        <v>00501770</v>
      </c>
      <c r="H1645">
        <v>28.8</v>
      </c>
      <c r="I1645">
        <v>0</v>
      </c>
      <c r="M1645">
        <v>4</v>
      </c>
      <c r="N1645">
        <v>0</v>
      </c>
      <c r="O1645">
        <v>0</v>
      </c>
      <c r="P1645">
        <v>32.8</v>
      </c>
      <c r="Q1645">
        <v>17</v>
      </c>
      <c r="R1645">
        <v>17</v>
      </c>
      <c r="S1645">
        <v>0</v>
      </c>
      <c r="T1645">
        <v>0</v>
      </c>
      <c r="U1645" s="1">
        <v>0</v>
      </c>
      <c r="V1645">
        <v>49.8</v>
      </c>
    </row>
    <row r="1646" spans="1:22" ht="15">
      <c r="A1646" s="4">
        <v>1639</v>
      </c>
      <c r="B1646">
        <v>344</v>
      </c>
      <c r="C1646" t="s">
        <v>3672</v>
      </c>
      <c r="D1646" t="s">
        <v>3673</v>
      </c>
      <c r="E1646" t="s">
        <v>157</v>
      </c>
      <c r="F1646" t="s">
        <v>3674</v>
      </c>
      <c r="G1646" t="str">
        <f>"00480891"</f>
        <v>00480891</v>
      </c>
      <c r="H1646">
        <v>16.8</v>
      </c>
      <c r="I1646">
        <v>0</v>
      </c>
      <c r="M1646">
        <v>0</v>
      </c>
      <c r="N1646">
        <v>0</v>
      </c>
      <c r="O1646">
        <v>0</v>
      </c>
      <c r="P1646">
        <v>16.8</v>
      </c>
      <c r="Q1646">
        <v>30</v>
      </c>
      <c r="R1646">
        <v>30</v>
      </c>
      <c r="S1646">
        <v>3</v>
      </c>
      <c r="T1646">
        <v>0</v>
      </c>
      <c r="U1646" s="1">
        <v>0</v>
      </c>
      <c r="V1646">
        <v>49.8</v>
      </c>
    </row>
    <row r="1647" spans="1:22" ht="15">
      <c r="A1647" s="4">
        <v>1640</v>
      </c>
      <c r="B1647">
        <v>2390</v>
      </c>
      <c r="C1647" t="s">
        <v>3675</v>
      </c>
      <c r="D1647" t="s">
        <v>232</v>
      </c>
      <c r="E1647" t="s">
        <v>23</v>
      </c>
      <c r="F1647" t="s">
        <v>3676</v>
      </c>
      <c r="G1647" t="str">
        <f>"00523100"</f>
        <v>00523100</v>
      </c>
      <c r="H1647">
        <v>33.72</v>
      </c>
      <c r="I1647">
        <v>0</v>
      </c>
      <c r="M1647">
        <v>4</v>
      </c>
      <c r="N1647">
        <v>0</v>
      </c>
      <c r="O1647">
        <v>0</v>
      </c>
      <c r="P1647">
        <v>37.72</v>
      </c>
      <c r="Q1647">
        <v>6</v>
      </c>
      <c r="R1647">
        <v>6</v>
      </c>
      <c r="S1647">
        <v>6</v>
      </c>
      <c r="T1647">
        <v>0</v>
      </c>
      <c r="U1647" s="1">
        <v>0</v>
      </c>
      <c r="V1647">
        <v>49.72</v>
      </c>
    </row>
    <row r="1648" spans="1:22" ht="15">
      <c r="A1648" s="4">
        <v>1641</v>
      </c>
      <c r="B1648">
        <v>127</v>
      </c>
      <c r="C1648" t="s">
        <v>3677</v>
      </c>
      <c r="D1648" t="s">
        <v>222</v>
      </c>
      <c r="E1648" t="s">
        <v>3678</v>
      </c>
      <c r="F1648" t="s">
        <v>3679</v>
      </c>
      <c r="G1648" t="str">
        <f>"00497819"</f>
        <v>00497819</v>
      </c>
      <c r="H1648">
        <v>31.72</v>
      </c>
      <c r="I1648">
        <v>0</v>
      </c>
      <c r="M1648">
        <v>4</v>
      </c>
      <c r="N1648">
        <v>0</v>
      </c>
      <c r="O1648">
        <v>0</v>
      </c>
      <c r="P1648">
        <v>35.72</v>
      </c>
      <c r="Q1648">
        <v>11</v>
      </c>
      <c r="R1648">
        <v>11</v>
      </c>
      <c r="S1648">
        <v>3</v>
      </c>
      <c r="T1648">
        <v>0</v>
      </c>
      <c r="U1648" s="1">
        <v>0</v>
      </c>
      <c r="V1648">
        <v>49.72</v>
      </c>
    </row>
    <row r="1649" spans="1:22" ht="15">
      <c r="A1649" s="4">
        <v>1642</v>
      </c>
      <c r="B1649">
        <v>1319</v>
      </c>
      <c r="C1649" t="s">
        <v>3680</v>
      </c>
      <c r="D1649" t="s">
        <v>3681</v>
      </c>
      <c r="E1649" t="s">
        <v>83</v>
      </c>
      <c r="F1649" t="s">
        <v>3682</v>
      </c>
      <c r="G1649" t="str">
        <f>"00509056"</f>
        <v>00509056</v>
      </c>
      <c r="H1649">
        <v>21.6</v>
      </c>
      <c r="I1649">
        <v>10</v>
      </c>
      <c r="M1649">
        <v>0</v>
      </c>
      <c r="N1649">
        <v>0</v>
      </c>
      <c r="O1649">
        <v>0</v>
      </c>
      <c r="P1649">
        <v>31.6</v>
      </c>
      <c r="Q1649">
        <v>12</v>
      </c>
      <c r="R1649">
        <v>12</v>
      </c>
      <c r="S1649">
        <v>6</v>
      </c>
      <c r="T1649">
        <v>0</v>
      </c>
      <c r="U1649" s="1">
        <v>0</v>
      </c>
      <c r="V1649">
        <v>49.6</v>
      </c>
    </row>
    <row r="1650" spans="1:22" ht="15">
      <c r="A1650" s="4">
        <v>1643</v>
      </c>
      <c r="B1650">
        <v>623</v>
      </c>
      <c r="C1650" t="s">
        <v>3683</v>
      </c>
      <c r="D1650" t="s">
        <v>156</v>
      </c>
      <c r="E1650" t="s">
        <v>19</v>
      </c>
      <c r="F1650" t="s">
        <v>3684</v>
      </c>
      <c r="G1650" t="str">
        <f>"00527345"</f>
        <v>00527345</v>
      </c>
      <c r="H1650">
        <v>21.6</v>
      </c>
      <c r="I1650">
        <v>0</v>
      </c>
      <c r="M1650">
        <v>0</v>
      </c>
      <c r="N1650">
        <v>0</v>
      </c>
      <c r="O1650">
        <v>2</v>
      </c>
      <c r="P1650">
        <v>23.6</v>
      </c>
      <c r="Q1650">
        <v>26</v>
      </c>
      <c r="R1650">
        <v>26</v>
      </c>
      <c r="S1650">
        <v>0</v>
      </c>
      <c r="T1650">
        <v>0</v>
      </c>
      <c r="U1650" s="1">
        <v>0</v>
      </c>
      <c r="V1650">
        <v>49.6</v>
      </c>
    </row>
    <row r="1651" spans="1:22" ht="15">
      <c r="A1651" s="4">
        <v>1644</v>
      </c>
      <c r="B1651">
        <v>2877</v>
      </c>
      <c r="C1651" t="s">
        <v>3685</v>
      </c>
      <c r="D1651" t="s">
        <v>14</v>
      </c>
      <c r="E1651" t="s">
        <v>83</v>
      </c>
      <c r="F1651" t="s">
        <v>3686</v>
      </c>
      <c r="G1651" t="str">
        <f>"00161283"</f>
        <v>00161283</v>
      </c>
      <c r="H1651">
        <v>21.6</v>
      </c>
      <c r="I1651">
        <v>0</v>
      </c>
      <c r="M1651">
        <v>4</v>
      </c>
      <c r="N1651">
        <v>0</v>
      </c>
      <c r="O1651">
        <v>0</v>
      </c>
      <c r="P1651">
        <v>25.6</v>
      </c>
      <c r="Q1651">
        <v>18</v>
      </c>
      <c r="R1651">
        <v>18</v>
      </c>
      <c r="S1651">
        <v>6</v>
      </c>
      <c r="T1651">
        <v>0</v>
      </c>
      <c r="U1651" s="1">
        <v>0</v>
      </c>
      <c r="V1651">
        <v>49.6</v>
      </c>
    </row>
    <row r="1652" spans="1:22" ht="15">
      <c r="A1652" s="4">
        <v>1645</v>
      </c>
      <c r="B1652">
        <v>845</v>
      </c>
      <c r="C1652" t="s">
        <v>3687</v>
      </c>
      <c r="D1652" t="s">
        <v>511</v>
      </c>
      <c r="E1652" t="s">
        <v>1180</v>
      </c>
      <c r="F1652" t="s">
        <v>3688</v>
      </c>
      <c r="G1652" t="str">
        <f>"00531317"</f>
        <v>00531317</v>
      </c>
      <c r="H1652">
        <v>27.48</v>
      </c>
      <c r="I1652">
        <v>10</v>
      </c>
      <c r="M1652">
        <v>0</v>
      </c>
      <c r="N1652">
        <v>0</v>
      </c>
      <c r="O1652">
        <v>0</v>
      </c>
      <c r="P1652">
        <v>37.48</v>
      </c>
      <c r="Q1652">
        <v>0</v>
      </c>
      <c r="R1652">
        <v>0</v>
      </c>
      <c r="S1652">
        <v>12</v>
      </c>
      <c r="T1652">
        <v>0</v>
      </c>
      <c r="U1652" s="1">
        <v>0</v>
      </c>
      <c r="V1652">
        <v>49.48</v>
      </c>
    </row>
    <row r="1653" spans="1:22" ht="15">
      <c r="A1653" s="4">
        <v>1646</v>
      </c>
      <c r="B1653">
        <v>1645</v>
      </c>
      <c r="C1653" t="s">
        <v>3689</v>
      </c>
      <c r="D1653" t="s">
        <v>121</v>
      </c>
      <c r="E1653" t="s">
        <v>344</v>
      </c>
      <c r="F1653" t="s">
        <v>3690</v>
      </c>
      <c r="G1653" t="str">
        <f>"00027776"</f>
        <v>00027776</v>
      </c>
      <c r="H1653">
        <v>33.44</v>
      </c>
      <c r="I1653">
        <v>0</v>
      </c>
      <c r="M1653">
        <v>4</v>
      </c>
      <c r="N1653">
        <v>0</v>
      </c>
      <c r="O1653">
        <v>0</v>
      </c>
      <c r="P1653">
        <v>37.44</v>
      </c>
      <c r="Q1653">
        <v>6</v>
      </c>
      <c r="R1653">
        <v>6</v>
      </c>
      <c r="S1653">
        <v>6</v>
      </c>
      <c r="T1653">
        <v>0</v>
      </c>
      <c r="U1653" s="1">
        <v>0</v>
      </c>
      <c r="V1653">
        <v>49.44</v>
      </c>
    </row>
    <row r="1654" spans="1:22" ht="15">
      <c r="A1654" s="4">
        <v>1647</v>
      </c>
      <c r="B1654">
        <v>2037</v>
      </c>
      <c r="C1654" t="s">
        <v>3691</v>
      </c>
      <c r="D1654" t="s">
        <v>14</v>
      </c>
      <c r="E1654" t="s">
        <v>51</v>
      </c>
      <c r="F1654" t="s">
        <v>3692</v>
      </c>
      <c r="G1654" t="str">
        <f>"00503614"</f>
        <v>00503614</v>
      </c>
      <c r="H1654">
        <v>14.4</v>
      </c>
      <c r="I1654">
        <v>0</v>
      </c>
      <c r="L1654">
        <v>4</v>
      </c>
      <c r="M1654">
        <v>0</v>
      </c>
      <c r="N1654">
        <v>4</v>
      </c>
      <c r="O1654">
        <v>0</v>
      </c>
      <c r="P1654">
        <v>18.4</v>
      </c>
      <c r="Q1654">
        <v>31</v>
      </c>
      <c r="R1654">
        <v>31</v>
      </c>
      <c r="S1654">
        <v>0</v>
      </c>
      <c r="T1654">
        <v>0</v>
      </c>
      <c r="U1654" s="1">
        <v>0</v>
      </c>
      <c r="V1654">
        <v>49.4</v>
      </c>
    </row>
    <row r="1655" spans="1:22" ht="15">
      <c r="A1655" s="4">
        <v>1648</v>
      </c>
      <c r="B1655">
        <v>720</v>
      </c>
      <c r="C1655" t="s">
        <v>3693</v>
      </c>
      <c r="D1655" t="s">
        <v>29</v>
      </c>
      <c r="E1655" t="s">
        <v>134</v>
      </c>
      <c r="F1655" t="s">
        <v>3694</v>
      </c>
      <c r="G1655" t="str">
        <f>"201412003016"</f>
        <v>201412003016</v>
      </c>
      <c r="H1655">
        <v>29.32</v>
      </c>
      <c r="I1655">
        <v>10</v>
      </c>
      <c r="L1655">
        <v>4</v>
      </c>
      <c r="M1655">
        <v>4</v>
      </c>
      <c r="N1655">
        <v>4</v>
      </c>
      <c r="O1655">
        <v>2</v>
      </c>
      <c r="P1655">
        <v>49.32</v>
      </c>
      <c r="Q1655">
        <v>0</v>
      </c>
      <c r="R1655">
        <v>0</v>
      </c>
      <c r="S1655">
        <v>0</v>
      </c>
      <c r="T1655">
        <v>0</v>
      </c>
      <c r="U1655" s="1">
        <v>0</v>
      </c>
      <c r="V1655">
        <v>49.32</v>
      </c>
    </row>
    <row r="1656" spans="1:22" ht="15">
      <c r="A1656" s="4">
        <v>1649</v>
      </c>
      <c r="B1656">
        <v>3134</v>
      </c>
      <c r="C1656" t="s">
        <v>3695</v>
      </c>
      <c r="D1656" t="s">
        <v>76</v>
      </c>
      <c r="E1656" t="s">
        <v>90</v>
      </c>
      <c r="F1656" t="s">
        <v>3696</v>
      </c>
      <c r="G1656" t="str">
        <f>"00154315"</f>
        <v>00154315</v>
      </c>
      <c r="H1656">
        <v>24.28</v>
      </c>
      <c r="I1656">
        <v>0</v>
      </c>
      <c r="M1656">
        <v>0</v>
      </c>
      <c r="N1656">
        <v>0</v>
      </c>
      <c r="O1656">
        <v>0</v>
      </c>
      <c r="P1656">
        <v>24.28</v>
      </c>
      <c r="Q1656">
        <v>25</v>
      </c>
      <c r="R1656">
        <v>25</v>
      </c>
      <c r="S1656">
        <v>0</v>
      </c>
      <c r="T1656">
        <v>0</v>
      </c>
      <c r="U1656" s="1">
        <v>0</v>
      </c>
      <c r="V1656">
        <v>49.28</v>
      </c>
    </row>
    <row r="1657" spans="1:22" ht="15">
      <c r="A1657" s="4">
        <v>1650</v>
      </c>
      <c r="B1657">
        <v>1542</v>
      </c>
      <c r="C1657" t="s">
        <v>1014</v>
      </c>
      <c r="D1657" t="s">
        <v>29</v>
      </c>
      <c r="E1657" t="s">
        <v>11</v>
      </c>
      <c r="F1657" t="s">
        <v>3697</v>
      </c>
      <c r="G1657" t="str">
        <f>"00208268"</f>
        <v>00208268</v>
      </c>
      <c r="H1657">
        <v>39.2</v>
      </c>
      <c r="I1657">
        <v>0</v>
      </c>
      <c r="L1657">
        <v>4</v>
      </c>
      <c r="M1657">
        <v>4</v>
      </c>
      <c r="N1657">
        <v>4</v>
      </c>
      <c r="O1657">
        <v>2</v>
      </c>
      <c r="P1657">
        <v>49.2</v>
      </c>
      <c r="Q1657">
        <v>0</v>
      </c>
      <c r="R1657">
        <v>0</v>
      </c>
      <c r="S1657">
        <v>0</v>
      </c>
      <c r="T1657">
        <v>0</v>
      </c>
      <c r="U1657" s="1">
        <v>0</v>
      </c>
      <c r="V1657">
        <v>49.2</v>
      </c>
    </row>
    <row r="1658" spans="1:22" ht="15">
      <c r="A1658" s="4">
        <v>1651</v>
      </c>
      <c r="B1658">
        <v>264</v>
      </c>
      <c r="C1658" t="s">
        <v>3698</v>
      </c>
      <c r="D1658" t="s">
        <v>58</v>
      </c>
      <c r="E1658" t="s">
        <v>83</v>
      </c>
      <c r="F1658" t="s">
        <v>3699</v>
      </c>
      <c r="G1658" t="str">
        <f>"00109603"</f>
        <v>00109603</v>
      </c>
      <c r="H1658">
        <v>43.2</v>
      </c>
      <c r="I1658">
        <v>0</v>
      </c>
      <c r="M1658">
        <v>4</v>
      </c>
      <c r="N1658">
        <v>0</v>
      </c>
      <c r="O1658">
        <v>2</v>
      </c>
      <c r="P1658">
        <v>49.2</v>
      </c>
      <c r="Q1658">
        <v>0</v>
      </c>
      <c r="R1658">
        <v>0</v>
      </c>
      <c r="S1658">
        <v>0</v>
      </c>
      <c r="T1658">
        <v>0</v>
      </c>
      <c r="U1658" s="1">
        <v>0</v>
      </c>
      <c r="V1658">
        <v>49.2</v>
      </c>
    </row>
    <row r="1659" spans="1:22" ht="15">
      <c r="A1659" s="4">
        <v>1652</v>
      </c>
      <c r="B1659">
        <v>338</v>
      </c>
      <c r="C1659" t="s">
        <v>3700</v>
      </c>
      <c r="D1659" t="s">
        <v>14</v>
      </c>
      <c r="E1659" t="s">
        <v>19</v>
      </c>
      <c r="F1659" t="s">
        <v>3701</v>
      </c>
      <c r="G1659" t="str">
        <f>"00530938"</f>
        <v>00530938</v>
      </c>
      <c r="H1659">
        <v>43.2</v>
      </c>
      <c r="I1659">
        <v>0</v>
      </c>
      <c r="M1659">
        <v>0</v>
      </c>
      <c r="N1659">
        <v>0</v>
      </c>
      <c r="O1659">
        <v>0</v>
      </c>
      <c r="P1659">
        <v>43.2</v>
      </c>
      <c r="Q1659">
        <v>6</v>
      </c>
      <c r="R1659">
        <v>6</v>
      </c>
      <c r="S1659">
        <v>0</v>
      </c>
      <c r="T1659">
        <v>0</v>
      </c>
      <c r="U1659" s="1">
        <v>0</v>
      </c>
      <c r="V1659">
        <v>49.2</v>
      </c>
    </row>
    <row r="1660" spans="1:22" ht="15">
      <c r="A1660" s="4">
        <v>1653</v>
      </c>
      <c r="B1660">
        <v>1982</v>
      </c>
      <c r="C1660" t="s">
        <v>3702</v>
      </c>
      <c r="D1660" t="s">
        <v>89</v>
      </c>
      <c r="E1660" t="s">
        <v>19</v>
      </c>
      <c r="F1660" t="s">
        <v>3703</v>
      </c>
      <c r="G1660" t="str">
        <f>"00531862"</f>
        <v>00531862</v>
      </c>
      <c r="H1660">
        <v>43.2</v>
      </c>
      <c r="I1660">
        <v>0</v>
      </c>
      <c r="M1660">
        <v>0</v>
      </c>
      <c r="N1660">
        <v>0</v>
      </c>
      <c r="O1660">
        <v>0</v>
      </c>
      <c r="P1660">
        <v>43.2</v>
      </c>
      <c r="Q1660">
        <v>0</v>
      </c>
      <c r="R1660">
        <v>0</v>
      </c>
      <c r="S1660">
        <v>6</v>
      </c>
      <c r="T1660">
        <v>0</v>
      </c>
      <c r="U1660" s="1">
        <v>0</v>
      </c>
      <c r="V1660">
        <v>49.2</v>
      </c>
    </row>
    <row r="1661" spans="1:22" ht="15">
      <c r="A1661" s="4">
        <v>1654</v>
      </c>
      <c r="B1661">
        <v>1092</v>
      </c>
      <c r="C1661" t="s">
        <v>3704</v>
      </c>
      <c r="D1661" t="s">
        <v>3705</v>
      </c>
      <c r="E1661" t="s">
        <v>3706</v>
      </c>
      <c r="F1661" t="s">
        <v>3707</v>
      </c>
      <c r="G1661" t="str">
        <f>"00509248"</f>
        <v>00509248</v>
      </c>
      <c r="H1661">
        <v>43.2</v>
      </c>
      <c r="I1661">
        <v>0</v>
      </c>
      <c r="M1661">
        <v>0</v>
      </c>
      <c r="N1661">
        <v>0</v>
      </c>
      <c r="O1661">
        <v>0</v>
      </c>
      <c r="P1661">
        <v>43.2</v>
      </c>
      <c r="Q1661">
        <v>6</v>
      </c>
      <c r="R1661">
        <v>6</v>
      </c>
      <c r="S1661">
        <v>0</v>
      </c>
      <c r="T1661">
        <v>0</v>
      </c>
      <c r="U1661" s="1">
        <v>0</v>
      </c>
      <c r="V1661">
        <v>49.2</v>
      </c>
    </row>
    <row r="1662" spans="1:22" ht="15">
      <c r="A1662" s="4">
        <v>1655</v>
      </c>
      <c r="B1662">
        <v>1029</v>
      </c>
      <c r="C1662" t="s">
        <v>3708</v>
      </c>
      <c r="D1662" t="s">
        <v>127</v>
      </c>
      <c r="E1662" t="s">
        <v>3709</v>
      </c>
      <c r="F1662" t="s">
        <v>3710</v>
      </c>
      <c r="G1662" t="str">
        <f>"201511025397"</f>
        <v>201511025397</v>
      </c>
      <c r="H1662">
        <v>35.2</v>
      </c>
      <c r="I1662">
        <v>10</v>
      </c>
      <c r="M1662">
        <v>4</v>
      </c>
      <c r="N1662">
        <v>0</v>
      </c>
      <c r="O1662">
        <v>0</v>
      </c>
      <c r="P1662">
        <v>49.2</v>
      </c>
      <c r="Q1662">
        <v>0</v>
      </c>
      <c r="R1662">
        <v>0</v>
      </c>
      <c r="S1662">
        <v>0</v>
      </c>
      <c r="T1662">
        <v>0</v>
      </c>
      <c r="U1662" s="1">
        <v>0</v>
      </c>
      <c r="V1662">
        <v>49.2</v>
      </c>
    </row>
    <row r="1663" spans="1:22" ht="15">
      <c r="A1663" s="4">
        <v>1656</v>
      </c>
      <c r="B1663">
        <v>739</v>
      </c>
      <c r="C1663" t="s">
        <v>3711</v>
      </c>
      <c r="D1663" t="s">
        <v>3712</v>
      </c>
      <c r="E1663" t="s">
        <v>972</v>
      </c>
      <c r="F1663" t="s">
        <v>3713</v>
      </c>
      <c r="G1663" t="str">
        <f>"00483686"</f>
        <v>00483686</v>
      </c>
      <c r="H1663">
        <v>19.2</v>
      </c>
      <c r="I1663">
        <v>0</v>
      </c>
      <c r="L1663">
        <v>4</v>
      </c>
      <c r="M1663">
        <v>4</v>
      </c>
      <c r="N1663">
        <v>4</v>
      </c>
      <c r="O1663">
        <v>0</v>
      </c>
      <c r="P1663">
        <v>27.2</v>
      </c>
      <c r="Q1663">
        <v>22</v>
      </c>
      <c r="R1663">
        <v>22</v>
      </c>
      <c r="S1663">
        <v>0</v>
      </c>
      <c r="T1663">
        <v>0</v>
      </c>
      <c r="U1663" s="1">
        <v>0</v>
      </c>
      <c r="V1663">
        <v>49.2</v>
      </c>
    </row>
    <row r="1664" spans="1:22" ht="15">
      <c r="A1664" s="4">
        <v>1657</v>
      </c>
      <c r="B1664">
        <v>2928</v>
      </c>
      <c r="C1664" t="s">
        <v>3714</v>
      </c>
      <c r="D1664" t="s">
        <v>121</v>
      </c>
      <c r="E1664" t="s">
        <v>23</v>
      </c>
      <c r="F1664" t="s">
        <v>3715</v>
      </c>
      <c r="G1664" t="str">
        <f>"00529406"</f>
        <v>00529406</v>
      </c>
      <c r="H1664">
        <v>43.2</v>
      </c>
      <c r="I1664">
        <v>0</v>
      </c>
      <c r="M1664">
        <v>0</v>
      </c>
      <c r="N1664">
        <v>0</v>
      </c>
      <c r="O1664">
        <v>0</v>
      </c>
      <c r="P1664">
        <v>43.2</v>
      </c>
      <c r="Q1664">
        <v>0</v>
      </c>
      <c r="R1664">
        <v>0</v>
      </c>
      <c r="S1664">
        <v>6</v>
      </c>
      <c r="T1664">
        <v>0</v>
      </c>
      <c r="U1664" s="1">
        <v>0</v>
      </c>
      <c r="V1664">
        <v>49.2</v>
      </c>
    </row>
    <row r="1665" spans="1:22" ht="15">
      <c r="A1665" s="4">
        <v>1658</v>
      </c>
      <c r="B1665">
        <v>3235</v>
      </c>
      <c r="C1665" t="s">
        <v>57</v>
      </c>
      <c r="D1665" t="s">
        <v>582</v>
      </c>
      <c r="E1665" t="s">
        <v>90</v>
      </c>
      <c r="F1665" t="s">
        <v>3716</v>
      </c>
      <c r="G1665" t="str">
        <f>"201511031794"</f>
        <v>201511031794</v>
      </c>
      <c r="H1665">
        <v>35.12</v>
      </c>
      <c r="I1665">
        <v>10</v>
      </c>
      <c r="M1665">
        <v>4</v>
      </c>
      <c r="N1665">
        <v>0</v>
      </c>
      <c r="O1665">
        <v>0</v>
      </c>
      <c r="P1665">
        <v>49.12</v>
      </c>
      <c r="Q1665">
        <v>0</v>
      </c>
      <c r="R1665">
        <v>0</v>
      </c>
      <c r="S1665">
        <v>0</v>
      </c>
      <c r="T1665">
        <v>0</v>
      </c>
      <c r="U1665" s="1">
        <v>0</v>
      </c>
      <c r="V1665">
        <v>49.12</v>
      </c>
    </row>
    <row r="1666" spans="1:22" ht="15">
      <c r="A1666" s="4">
        <v>1659</v>
      </c>
      <c r="B1666">
        <v>3374</v>
      </c>
      <c r="C1666" t="s">
        <v>3717</v>
      </c>
      <c r="D1666" t="s">
        <v>319</v>
      </c>
      <c r="E1666" t="s">
        <v>385</v>
      </c>
      <c r="F1666" t="s">
        <v>3718</v>
      </c>
      <c r="G1666" t="str">
        <f>"00195345"</f>
        <v>00195345</v>
      </c>
      <c r="H1666">
        <v>37.08</v>
      </c>
      <c r="I1666">
        <v>0</v>
      </c>
      <c r="J1666">
        <v>8</v>
      </c>
      <c r="M1666">
        <v>4</v>
      </c>
      <c r="N1666">
        <v>8</v>
      </c>
      <c r="O1666">
        <v>0</v>
      </c>
      <c r="P1666">
        <v>49.08</v>
      </c>
      <c r="Q1666">
        <v>0</v>
      </c>
      <c r="R1666">
        <v>0</v>
      </c>
      <c r="S1666">
        <v>0</v>
      </c>
      <c r="T1666">
        <v>0</v>
      </c>
      <c r="U1666" s="1">
        <v>0</v>
      </c>
      <c r="V1666">
        <v>49.08</v>
      </c>
    </row>
    <row r="1667" spans="1:22" ht="15">
      <c r="A1667" s="4">
        <v>1660</v>
      </c>
      <c r="B1667">
        <v>2766</v>
      </c>
      <c r="C1667" t="s">
        <v>3719</v>
      </c>
      <c r="D1667" t="s">
        <v>127</v>
      </c>
      <c r="E1667" t="s">
        <v>979</v>
      </c>
      <c r="F1667" t="s">
        <v>3720</v>
      </c>
      <c r="G1667" t="str">
        <f>"00530740"</f>
        <v>00530740</v>
      </c>
      <c r="H1667">
        <v>24</v>
      </c>
      <c r="I1667">
        <v>0</v>
      </c>
      <c r="M1667">
        <v>0</v>
      </c>
      <c r="N1667">
        <v>0</v>
      </c>
      <c r="O1667">
        <v>0</v>
      </c>
      <c r="P1667">
        <v>24</v>
      </c>
      <c r="Q1667">
        <v>25</v>
      </c>
      <c r="R1667">
        <v>25</v>
      </c>
      <c r="S1667">
        <v>0</v>
      </c>
      <c r="T1667">
        <v>0</v>
      </c>
      <c r="U1667" s="1">
        <v>0</v>
      </c>
      <c r="V1667">
        <v>49</v>
      </c>
    </row>
    <row r="1668" spans="1:22" ht="15">
      <c r="A1668" s="4">
        <v>1661</v>
      </c>
      <c r="B1668">
        <v>1389</v>
      </c>
      <c r="C1668" t="s">
        <v>2108</v>
      </c>
      <c r="D1668" t="s">
        <v>89</v>
      </c>
      <c r="E1668" t="s">
        <v>197</v>
      </c>
      <c r="F1668" t="s">
        <v>3721</v>
      </c>
      <c r="G1668" t="str">
        <f>"00187802"</f>
        <v>00187802</v>
      </c>
      <c r="H1668">
        <v>36</v>
      </c>
      <c r="I1668">
        <v>0</v>
      </c>
      <c r="L1668">
        <v>4</v>
      </c>
      <c r="M1668">
        <v>0</v>
      </c>
      <c r="N1668">
        <v>4</v>
      </c>
      <c r="O1668">
        <v>0</v>
      </c>
      <c r="P1668">
        <v>40</v>
      </c>
      <c r="Q1668">
        <v>6</v>
      </c>
      <c r="R1668">
        <v>6</v>
      </c>
      <c r="S1668">
        <v>3</v>
      </c>
      <c r="T1668">
        <v>0</v>
      </c>
      <c r="U1668" s="1">
        <v>0</v>
      </c>
      <c r="V1668">
        <v>49</v>
      </c>
    </row>
    <row r="1669" spans="1:22" ht="15">
      <c r="A1669" s="4">
        <v>1662</v>
      </c>
      <c r="B1669">
        <v>2213</v>
      </c>
      <c r="C1669" t="s">
        <v>3722</v>
      </c>
      <c r="D1669" t="s">
        <v>3723</v>
      </c>
      <c r="E1669" t="s">
        <v>344</v>
      </c>
      <c r="F1669" t="s">
        <v>3724</v>
      </c>
      <c r="G1669" t="str">
        <f>"00504531"</f>
        <v>00504531</v>
      </c>
      <c r="H1669">
        <v>32</v>
      </c>
      <c r="I1669">
        <v>10</v>
      </c>
      <c r="M1669">
        <v>4</v>
      </c>
      <c r="N1669">
        <v>0</v>
      </c>
      <c r="O1669">
        <v>0</v>
      </c>
      <c r="P1669">
        <v>46</v>
      </c>
      <c r="Q1669">
        <v>0</v>
      </c>
      <c r="R1669">
        <v>0</v>
      </c>
      <c r="S1669">
        <v>3</v>
      </c>
      <c r="T1669">
        <v>0</v>
      </c>
      <c r="U1669" s="1">
        <v>0</v>
      </c>
      <c r="V1669">
        <v>49</v>
      </c>
    </row>
    <row r="1670" spans="1:22" ht="15">
      <c r="A1670" s="4">
        <v>1663</v>
      </c>
      <c r="B1670">
        <v>3409</v>
      </c>
      <c r="C1670" t="s">
        <v>3725</v>
      </c>
      <c r="D1670" t="s">
        <v>453</v>
      </c>
      <c r="E1670" t="s">
        <v>69</v>
      </c>
      <c r="F1670" t="s">
        <v>3726</v>
      </c>
      <c r="G1670" t="str">
        <f>"00094730"</f>
        <v>00094730</v>
      </c>
      <c r="H1670">
        <v>36</v>
      </c>
      <c r="I1670">
        <v>0</v>
      </c>
      <c r="K1670">
        <v>6</v>
      </c>
      <c r="M1670">
        <v>4</v>
      </c>
      <c r="N1670">
        <v>6</v>
      </c>
      <c r="O1670">
        <v>0</v>
      </c>
      <c r="P1670">
        <v>46</v>
      </c>
      <c r="Q1670">
        <v>0</v>
      </c>
      <c r="R1670">
        <v>0</v>
      </c>
      <c r="S1670">
        <v>3</v>
      </c>
      <c r="T1670">
        <v>0</v>
      </c>
      <c r="U1670" s="1">
        <v>0</v>
      </c>
      <c r="V1670">
        <v>49</v>
      </c>
    </row>
    <row r="1671" spans="1:22" ht="15">
      <c r="A1671" s="4">
        <v>1664</v>
      </c>
      <c r="B1671">
        <v>2321</v>
      </c>
      <c r="C1671" t="s">
        <v>3727</v>
      </c>
      <c r="D1671" t="s">
        <v>14</v>
      </c>
      <c r="E1671" t="s">
        <v>317</v>
      </c>
      <c r="F1671" t="s">
        <v>3728</v>
      </c>
      <c r="G1671" t="str">
        <f>"00502111"</f>
        <v>00502111</v>
      </c>
      <c r="H1671">
        <v>36</v>
      </c>
      <c r="I1671">
        <v>0</v>
      </c>
      <c r="L1671">
        <v>4</v>
      </c>
      <c r="M1671">
        <v>4</v>
      </c>
      <c r="N1671">
        <v>4</v>
      </c>
      <c r="O1671">
        <v>2</v>
      </c>
      <c r="P1671">
        <v>46</v>
      </c>
      <c r="Q1671">
        <v>0</v>
      </c>
      <c r="R1671">
        <v>0</v>
      </c>
      <c r="S1671">
        <v>3</v>
      </c>
      <c r="T1671">
        <v>0</v>
      </c>
      <c r="U1671" s="1">
        <v>0</v>
      </c>
      <c r="V1671">
        <v>49</v>
      </c>
    </row>
    <row r="1672" spans="1:22" ht="15">
      <c r="A1672" s="4">
        <v>1665</v>
      </c>
      <c r="B1672">
        <v>434</v>
      </c>
      <c r="C1672" t="s">
        <v>2691</v>
      </c>
      <c r="D1672" t="s">
        <v>93</v>
      </c>
      <c r="E1672" t="s">
        <v>15</v>
      </c>
      <c r="F1672" t="s">
        <v>3729</v>
      </c>
      <c r="G1672" t="str">
        <f>"00531961"</f>
        <v>00531961</v>
      </c>
      <c r="H1672">
        <v>28.8</v>
      </c>
      <c r="I1672">
        <v>10</v>
      </c>
      <c r="L1672">
        <v>4</v>
      </c>
      <c r="M1672">
        <v>0</v>
      </c>
      <c r="N1672">
        <v>4</v>
      </c>
      <c r="O1672">
        <v>0</v>
      </c>
      <c r="P1672">
        <v>42.8</v>
      </c>
      <c r="Q1672">
        <v>0</v>
      </c>
      <c r="R1672">
        <v>0</v>
      </c>
      <c r="S1672">
        <v>6</v>
      </c>
      <c r="T1672">
        <v>0</v>
      </c>
      <c r="U1672" s="1">
        <v>0</v>
      </c>
      <c r="V1672">
        <v>48.8</v>
      </c>
    </row>
    <row r="1673" spans="1:22" ht="15">
      <c r="A1673" s="4">
        <v>1666</v>
      </c>
      <c r="B1673">
        <v>2279</v>
      </c>
      <c r="C1673" t="s">
        <v>3730</v>
      </c>
      <c r="D1673" t="s">
        <v>102</v>
      </c>
      <c r="E1673" t="s">
        <v>19</v>
      </c>
      <c r="F1673" t="s">
        <v>3731</v>
      </c>
      <c r="G1673" t="str">
        <f>"00512541"</f>
        <v>00512541</v>
      </c>
      <c r="H1673">
        <v>28.8</v>
      </c>
      <c r="I1673">
        <v>0</v>
      </c>
      <c r="M1673">
        <v>4</v>
      </c>
      <c r="N1673">
        <v>0</v>
      </c>
      <c r="O1673">
        <v>0</v>
      </c>
      <c r="P1673">
        <v>32.8</v>
      </c>
      <c r="Q1673">
        <v>16</v>
      </c>
      <c r="R1673">
        <v>16</v>
      </c>
      <c r="S1673">
        <v>0</v>
      </c>
      <c r="T1673">
        <v>0</v>
      </c>
      <c r="U1673" s="1">
        <v>0</v>
      </c>
      <c r="V1673">
        <v>48.8</v>
      </c>
    </row>
    <row r="1674" spans="1:22" ht="15">
      <c r="A1674" s="4">
        <v>1667</v>
      </c>
      <c r="B1674">
        <v>2791</v>
      </c>
      <c r="C1674" t="s">
        <v>2000</v>
      </c>
      <c r="D1674" t="s">
        <v>50</v>
      </c>
      <c r="E1674" t="s">
        <v>19</v>
      </c>
      <c r="F1674" t="s">
        <v>3732</v>
      </c>
      <c r="G1674" t="str">
        <f>"00533720"</f>
        <v>00533720</v>
      </c>
      <c r="H1674">
        <v>28.8</v>
      </c>
      <c r="I1674">
        <v>10</v>
      </c>
      <c r="M1674">
        <v>4</v>
      </c>
      <c r="N1674">
        <v>0</v>
      </c>
      <c r="O1674">
        <v>0</v>
      </c>
      <c r="P1674">
        <v>42.8</v>
      </c>
      <c r="Q1674">
        <v>0</v>
      </c>
      <c r="R1674">
        <v>0</v>
      </c>
      <c r="S1674">
        <v>6</v>
      </c>
      <c r="T1674">
        <v>0</v>
      </c>
      <c r="U1674" s="1">
        <v>0</v>
      </c>
      <c r="V1674">
        <v>48.8</v>
      </c>
    </row>
    <row r="1675" spans="1:22" ht="15">
      <c r="A1675" s="4">
        <v>1668</v>
      </c>
      <c r="B1675">
        <v>2285</v>
      </c>
      <c r="C1675" t="s">
        <v>484</v>
      </c>
      <c r="D1675" t="s">
        <v>14</v>
      </c>
      <c r="E1675" t="s">
        <v>23</v>
      </c>
      <c r="F1675" t="s">
        <v>3733</v>
      </c>
      <c r="G1675" t="str">
        <f>"00533596"</f>
        <v>00533596</v>
      </c>
      <c r="H1675">
        <v>28.8</v>
      </c>
      <c r="I1675">
        <v>10</v>
      </c>
      <c r="M1675">
        <v>4</v>
      </c>
      <c r="N1675">
        <v>0</v>
      </c>
      <c r="O1675">
        <v>0</v>
      </c>
      <c r="P1675">
        <v>42.8</v>
      </c>
      <c r="Q1675">
        <v>0</v>
      </c>
      <c r="R1675">
        <v>0</v>
      </c>
      <c r="S1675">
        <v>6</v>
      </c>
      <c r="T1675">
        <v>0</v>
      </c>
      <c r="U1675" s="1">
        <v>0</v>
      </c>
      <c r="V1675">
        <v>48.8</v>
      </c>
    </row>
    <row r="1676" spans="1:22" ht="15">
      <c r="A1676" s="4">
        <v>1669</v>
      </c>
      <c r="B1676">
        <v>3294</v>
      </c>
      <c r="C1676" t="s">
        <v>3734</v>
      </c>
      <c r="D1676" t="s">
        <v>1029</v>
      </c>
      <c r="E1676" t="s">
        <v>90</v>
      </c>
      <c r="F1676" t="s">
        <v>3735</v>
      </c>
      <c r="G1676" t="str">
        <f>"00532692"</f>
        <v>00532692</v>
      </c>
      <c r="H1676">
        <v>28.8</v>
      </c>
      <c r="I1676">
        <v>0</v>
      </c>
      <c r="M1676">
        <v>4</v>
      </c>
      <c r="N1676">
        <v>0</v>
      </c>
      <c r="O1676">
        <v>0</v>
      </c>
      <c r="P1676">
        <v>32.8</v>
      </c>
      <c r="Q1676">
        <v>16</v>
      </c>
      <c r="R1676">
        <v>16</v>
      </c>
      <c r="S1676">
        <v>0</v>
      </c>
      <c r="T1676">
        <v>0</v>
      </c>
      <c r="U1676" s="1">
        <v>0</v>
      </c>
      <c r="V1676">
        <v>48.8</v>
      </c>
    </row>
    <row r="1677" spans="1:22" ht="15">
      <c r="A1677" s="4">
        <v>1670</v>
      </c>
      <c r="B1677">
        <v>898</v>
      </c>
      <c r="C1677" t="s">
        <v>3736</v>
      </c>
      <c r="D1677" t="s">
        <v>68</v>
      </c>
      <c r="E1677" t="s">
        <v>30</v>
      </c>
      <c r="F1677" t="s">
        <v>3737</v>
      </c>
      <c r="G1677" t="str">
        <f>"00040086"</f>
        <v>00040086</v>
      </c>
      <c r="H1677">
        <v>28.8</v>
      </c>
      <c r="I1677">
        <v>10</v>
      </c>
      <c r="M1677">
        <v>4</v>
      </c>
      <c r="N1677">
        <v>0</v>
      </c>
      <c r="O1677">
        <v>0</v>
      </c>
      <c r="P1677">
        <v>42.8</v>
      </c>
      <c r="Q1677">
        <v>6</v>
      </c>
      <c r="R1677">
        <v>6</v>
      </c>
      <c r="S1677">
        <v>0</v>
      </c>
      <c r="T1677">
        <v>0</v>
      </c>
      <c r="U1677" s="1">
        <v>0</v>
      </c>
      <c r="V1677">
        <v>48.8</v>
      </c>
    </row>
    <row r="1678" spans="1:22" ht="15">
      <c r="A1678" s="4">
        <v>1671</v>
      </c>
      <c r="B1678">
        <v>2848</v>
      </c>
      <c r="C1678" t="s">
        <v>3738</v>
      </c>
      <c r="D1678" t="s">
        <v>3739</v>
      </c>
      <c r="E1678" t="s">
        <v>3740</v>
      </c>
      <c r="F1678" t="s">
        <v>3741</v>
      </c>
      <c r="G1678" t="str">
        <f>"00306910"</f>
        <v>00306910</v>
      </c>
      <c r="H1678">
        <v>28.8</v>
      </c>
      <c r="I1678">
        <v>10</v>
      </c>
      <c r="M1678">
        <v>4</v>
      </c>
      <c r="N1678">
        <v>0</v>
      </c>
      <c r="O1678">
        <v>0</v>
      </c>
      <c r="P1678">
        <v>42.8</v>
      </c>
      <c r="Q1678">
        <v>0</v>
      </c>
      <c r="R1678">
        <v>0</v>
      </c>
      <c r="S1678">
        <v>6</v>
      </c>
      <c r="T1678">
        <v>0</v>
      </c>
      <c r="U1678" s="1">
        <v>0</v>
      </c>
      <c r="V1678">
        <v>48.8</v>
      </c>
    </row>
    <row r="1679" spans="1:22" ht="15">
      <c r="A1679" s="4">
        <v>1672</v>
      </c>
      <c r="B1679">
        <v>2949</v>
      </c>
      <c r="C1679" t="s">
        <v>3742</v>
      </c>
      <c r="D1679" t="s">
        <v>511</v>
      </c>
      <c r="E1679" t="s">
        <v>59</v>
      </c>
      <c r="F1679" t="s">
        <v>3743</v>
      </c>
      <c r="G1679" t="str">
        <f>"00531593"</f>
        <v>00531593</v>
      </c>
      <c r="H1679">
        <v>44.78</v>
      </c>
      <c r="I1679">
        <v>0</v>
      </c>
      <c r="M1679">
        <v>4</v>
      </c>
      <c r="N1679">
        <v>0</v>
      </c>
      <c r="O1679">
        <v>0</v>
      </c>
      <c r="P1679">
        <v>48.78</v>
      </c>
      <c r="Q1679">
        <v>0</v>
      </c>
      <c r="R1679">
        <v>0</v>
      </c>
      <c r="S1679">
        <v>0</v>
      </c>
      <c r="T1679">
        <v>0</v>
      </c>
      <c r="U1679" s="1">
        <v>0</v>
      </c>
      <c r="V1679">
        <v>48.78</v>
      </c>
    </row>
    <row r="1680" spans="1:22" ht="15">
      <c r="A1680" s="4">
        <v>1673</v>
      </c>
      <c r="B1680">
        <v>2908</v>
      </c>
      <c r="C1680" t="s">
        <v>3744</v>
      </c>
      <c r="D1680" t="s">
        <v>14</v>
      </c>
      <c r="E1680" t="s">
        <v>19</v>
      </c>
      <c r="F1680" t="s">
        <v>3745</v>
      </c>
      <c r="G1680" t="str">
        <f>"00391644"</f>
        <v>00391644</v>
      </c>
      <c r="H1680">
        <v>36.72</v>
      </c>
      <c r="I1680">
        <v>0</v>
      </c>
      <c r="M1680">
        <v>4</v>
      </c>
      <c r="N1680">
        <v>0</v>
      </c>
      <c r="O1680">
        <v>2</v>
      </c>
      <c r="P1680">
        <v>42.72</v>
      </c>
      <c r="Q1680">
        <v>0</v>
      </c>
      <c r="R1680">
        <v>0</v>
      </c>
      <c r="S1680">
        <v>6</v>
      </c>
      <c r="T1680">
        <v>0</v>
      </c>
      <c r="U1680" s="1">
        <v>0</v>
      </c>
      <c r="V1680">
        <v>48.72</v>
      </c>
    </row>
    <row r="1681" spans="1:22" ht="15">
      <c r="A1681" s="4">
        <v>1674</v>
      </c>
      <c r="B1681">
        <v>366</v>
      </c>
      <c r="C1681" t="s">
        <v>2512</v>
      </c>
      <c r="D1681" t="s">
        <v>357</v>
      </c>
      <c r="E1681" t="s">
        <v>15</v>
      </c>
      <c r="F1681" t="s">
        <v>3746</v>
      </c>
      <c r="G1681" t="str">
        <f>"00508598"</f>
        <v>00508598</v>
      </c>
      <c r="H1681">
        <v>27.72</v>
      </c>
      <c r="I1681">
        <v>10</v>
      </c>
      <c r="M1681">
        <v>0</v>
      </c>
      <c r="N1681">
        <v>0</v>
      </c>
      <c r="O1681">
        <v>0</v>
      </c>
      <c r="P1681">
        <v>37.72</v>
      </c>
      <c r="Q1681">
        <v>11</v>
      </c>
      <c r="R1681">
        <v>11</v>
      </c>
      <c r="S1681">
        <v>0</v>
      </c>
      <c r="T1681">
        <v>0</v>
      </c>
      <c r="U1681" s="1">
        <v>0</v>
      </c>
      <c r="V1681">
        <v>48.72</v>
      </c>
    </row>
    <row r="1682" spans="1:22" ht="15">
      <c r="A1682" s="4">
        <v>1675</v>
      </c>
      <c r="B1682">
        <v>83</v>
      </c>
      <c r="C1682" t="s">
        <v>725</v>
      </c>
      <c r="D1682" t="s">
        <v>280</v>
      </c>
      <c r="E1682" t="s">
        <v>344</v>
      </c>
      <c r="F1682" t="s">
        <v>3747</v>
      </c>
      <c r="G1682" t="str">
        <f>"00480407"</f>
        <v>00480407</v>
      </c>
      <c r="H1682">
        <v>21.72</v>
      </c>
      <c r="I1682">
        <v>0</v>
      </c>
      <c r="M1682">
        <v>4</v>
      </c>
      <c r="N1682">
        <v>0</v>
      </c>
      <c r="O1682">
        <v>0</v>
      </c>
      <c r="P1682">
        <v>25.72</v>
      </c>
      <c r="Q1682">
        <v>14</v>
      </c>
      <c r="R1682">
        <v>14</v>
      </c>
      <c r="S1682">
        <v>9</v>
      </c>
      <c r="T1682">
        <v>0</v>
      </c>
      <c r="U1682" s="1">
        <v>0</v>
      </c>
      <c r="V1682">
        <v>48.72</v>
      </c>
    </row>
    <row r="1683" spans="1:22" ht="15">
      <c r="A1683" s="4">
        <v>1676</v>
      </c>
      <c r="B1683">
        <v>2226</v>
      </c>
      <c r="C1683" t="s">
        <v>3748</v>
      </c>
      <c r="D1683" t="s">
        <v>22</v>
      </c>
      <c r="E1683" t="s">
        <v>3749</v>
      </c>
      <c r="F1683" t="s">
        <v>3750</v>
      </c>
      <c r="G1683" t="str">
        <f>"00529735"</f>
        <v>00529735</v>
      </c>
      <c r="H1683">
        <v>38.68</v>
      </c>
      <c r="I1683">
        <v>0</v>
      </c>
      <c r="L1683">
        <v>4</v>
      </c>
      <c r="M1683">
        <v>0</v>
      </c>
      <c r="N1683">
        <v>4</v>
      </c>
      <c r="O1683">
        <v>0</v>
      </c>
      <c r="P1683">
        <v>42.68</v>
      </c>
      <c r="Q1683">
        <v>0</v>
      </c>
      <c r="R1683">
        <v>0</v>
      </c>
      <c r="S1683">
        <v>6</v>
      </c>
      <c r="T1683">
        <v>0</v>
      </c>
      <c r="U1683" s="1">
        <v>0</v>
      </c>
      <c r="V1683">
        <v>48.68</v>
      </c>
    </row>
    <row r="1684" spans="1:22" ht="15">
      <c r="A1684" s="4">
        <v>1677</v>
      </c>
      <c r="B1684">
        <v>294</v>
      </c>
      <c r="C1684" t="s">
        <v>3751</v>
      </c>
      <c r="D1684" t="s">
        <v>193</v>
      </c>
      <c r="E1684" t="s">
        <v>1180</v>
      </c>
      <c r="F1684" t="s">
        <v>3752</v>
      </c>
      <c r="G1684" t="str">
        <f>"00152640"</f>
        <v>00152640</v>
      </c>
      <c r="H1684">
        <v>38.68</v>
      </c>
      <c r="I1684">
        <v>0</v>
      </c>
      <c r="M1684">
        <v>4</v>
      </c>
      <c r="N1684">
        <v>0</v>
      </c>
      <c r="O1684">
        <v>0</v>
      </c>
      <c r="P1684">
        <v>42.68</v>
      </c>
      <c r="Q1684">
        <v>0</v>
      </c>
      <c r="R1684">
        <v>0</v>
      </c>
      <c r="S1684">
        <v>6</v>
      </c>
      <c r="T1684">
        <v>0</v>
      </c>
      <c r="U1684" s="1">
        <v>0</v>
      </c>
      <c r="V1684">
        <v>48.68</v>
      </c>
    </row>
    <row r="1685" spans="1:22" ht="15">
      <c r="A1685" s="4">
        <v>1678</v>
      </c>
      <c r="B1685">
        <v>72</v>
      </c>
      <c r="C1685" t="s">
        <v>1581</v>
      </c>
      <c r="D1685" t="s">
        <v>14</v>
      </c>
      <c r="E1685" t="s">
        <v>11</v>
      </c>
      <c r="F1685" t="s">
        <v>3753</v>
      </c>
      <c r="G1685" t="str">
        <f>"00493646"</f>
        <v>00493646</v>
      </c>
      <c r="H1685">
        <v>38.68</v>
      </c>
      <c r="I1685">
        <v>0</v>
      </c>
      <c r="M1685">
        <v>4</v>
      </c>
      <c r="N1685">
        <v>0</v>
      </c>
      <c r="O1685">
        <v>0</v>
      </c>
      <c r="P1685">
        <v>42.68</v>
      </c>
      <c r="Q1685">
        <v>0</v>
      </c>
      <c r="R1685">
        <v>0</v>
      </c>
      <c r="S1685">
        <v>6</v>
      </c>
      <c r="T1685">
        <v>0</v>
      </c>
      <c r="U1685" s="1">
        <v>0</v>
      </c>
      <c r="V1685">
        <v>48.68</v>
      </c>
    </row>
    <row r="1686" spans="1:22" ht="15">
      <c r="A1686" s="4">
        <v>1679</v>
      </c>
      <c r="B1686">
        <v>1401</v>
      </c>
      <c r="C1686" t="s">
        <v>3754</v>
      </c>
      <c r="D1686" t="s">
        <v>333</v>
      </c>
      <c r="E1686" t="s">
        <v>83</v>
      </c>
      <c r="F1686" t="s">
        <v>3755</v>
      </c>
      <c r="G1686" t="str">
        <f>"00483574"</f>
        <v>00483574</v>
      </c>
      <c r="H1686">
        <v>21.6</v>
      </c>
      <c r="I1686">
        <v>10</v>
      </c>
      <c r="M1686">
        <v>4</v>
      </c>
      <c r="N1686">
        <v>0</v>
      </c>
      <c r="O1686">
        <v>0</v>
      </c>
      <c r="P1686">
        <v>35.6</v>
      </c>
      <c r="Q1686">
        <v>4</v>
      </c>
      <c r="R1686">
        <v>4</v>
      </c>
      <c r="S1686">
        <v>9</v>
      </c>
      <c r="T1686">
        <v>0</v>
      </c>
      <c r="U1686" s="1">
        <v>0</v>
      </c>
      <c r="V1686">
        <v>48.6</v>
      </c>
    </row>
    <row r="1687" spans="1:22" ht="15">
      <c r="A1687" s="4">
        <v>1680</v>
      </c>
      <c r="B1687">
        <v>2643</v>
      </c>
      <c r="C1687" t="s">
        <v>3756</v>
      </c>
      <c r="D1687" t="s">
        <v>127</v>
      </c>
      <c r="E1687" t="s">
        <v>1401</v>
      </c>
      <c r="F1687" t="s">
        <v>3757</v>
      </c>
      <c r="G1687" t="str">
        <f>"00530970"</f>
        <v>00530970</v>
      </c>
      <c r="H1687">
        <v>39.6</v>
      </c>
      <c r="I1687">
        <v>0</v>
      </c>
      <c r="L1687">
        <v>4</v>
      </c>
      <c r="M1687">
        <v>0</v>
      </c>
      <c r="N1687">
        <v>4</v>
      </c>
      <c r="O1687">
        <v>0</v>
      </c>
      <c r="P1687">
        <v>43.6</v>
      </c>
      <c r="Q1687">
        <v>5</v>
      </c>
      <c r="R1687">
        <v>5</v>
      </c>
      <c r="S1687">
        <v>0</v>
      </c>
      <c r="T1687">
        <v>0</v>
      </c>
      <c r="U1687" s="1">
        <v>0</v>
      </c>
      <c r="V1687">
        <v>48.6</v>
      </c>
    </row>
    <row r="1688" spans="1:22" ht="15">
      <c r="A1688" s="4">
        <v>1681</v>
      </c>
      <c r="B1688">
        <v>2679</v>
      </c>
      <c r="C1688" t="s">
        <v>3758</v>
      </c>
      <c r="D1688" t="s">
        <v>3759</v>
      </c>
      <c r="E1688" t="s">
        <v>3506</v>
      </c>
      <c r="F1688" t="s">
        <v>3760</v>
      </c>
      <c r="G1688" t="str">
        <f>"00153644"</f>
        <v>00153644</v>
      </c>
      <c r="H1688">
        <v>26.56</v>
      </c>
      <c r="I1688">
        <v>0</v>
      </c>
      <c r="M1688">
        <v>0</v>
      </c>
      <c r="N1688">
        <v>0</v>
      </c>
      <c r="O1688">
        <v>0</v>
      </c>
      <c r="P1688">
        <v>26.56</v>
      </c>
      <c r="Q1688">
        <v>16</v>
      </c>
      <c r="R1688">
        <v>16</v>
      </c>
      <c r="S1688">
        <v>6</v>
      </c>
      <c r="T1688">
        <v>0</v>
      </c>
      <c r="U1688" s="1">
        <v>0</v>
      </c>
      <c r="V1688">
        <v>48.56</v>
      </c>
    </row>
    <row r="1689" spans="1:22" ht="15">
      <c r="A1689" s="4">
        <v>1682</v>
      </c>
      <c r="B1689">
        <v>1219</v>
      </c>
      <c r="C1689" t="s">
        <v>1375</v>
      </c>
      <c r="D1689" t="s">
        <v>22</v>
      </c>
      <c r="E1689" t="s">
        <v>11</v>
      </c>
      <c r="F1689" t="s">
        <v>3761</v>
      </c>
      <c r="G1689" t="str">
        <f>"00526271"</f>
        <v>00526271</v>
      </c>
      <c r="H1689">
        <v>14.4</v>
      </c>
      <c r="I1689">
        <v>10</v>
      </c>
      <c r="M1689">
        <v>0</v>
      </c>
      <c r="N1689">
        <v>0</v>
      </c>
      <c r="O1689">
        <v>0</v>
      </c>
      <c r="P1689">
        <v>24.4</v>
      </c>
      <c r="Q1689">
        <v>18</v>
      </c>
      <c r="R1689">
        <v>18</v>
      </c>
      <c r="S1689">
        <v>6</v>
      </c>
      <c r="T1689">
        <v>0</v>
      </c>
      <c r="U1689" s="1">
        <v>0</v>
      </c>
      <c r="V1689">
        <v>48.4</v>
      </c>
    </row>
    <row r="1690" spans="1:22" ht="15">
      <c r="A1690" s="4">
        <v>1683</v>
      </c>
      <c r="B1690">
        <v>2341</v>
      </c>
      <c r="C1690" t="s">
        <v>3762</v>
      </c>
      <c r="D1690" t="s">
        <v>280</v>
      </c>
      <c r="E1690" t="s">
        <v>317</v>
      </c>
      <c r="F1690" t="s">
        <v>3763</v>
      </c>
      <c r="G1690" t="str">
        <f>"201402007661"</f>
        <v>201402007661</v>
      </c>
      <c r="H1690">
        <v>24.4</v>
      </c>
      <c r="I1690">
        <v>0</v>
      </c>
      <c r="M1690">
        <v>4</v>
      </c>
      <c r="N1690">
        <v>0</v>
      </c>
      <c r="O1690">
        <v>0</v>
      </c>
      <c r="P1690">
        <v>28.4</v>
      </c>
      <c r="Q1690">
        <v>14</v>
      </c>
      <c r="R1690">
        <v>14</v>
      </c>
      <c r="S1690">
        <v>6</v>
      </c>
      <c r="T1690">
        <v>0</v>
      </c>
      <c r="U1690" s="1">
        <v>0</v>
      </c>
      <c r="V1690">
        <v>48.4</v>
      </c>
    </row>
    <row r="1691" spans="1:22" ht="15">
      <c r="A1691" s="4">
        <v>1684</v>
      </c>
      <c r="B1691">
        <v>1495</v>
      </c>
      <c r="C1691" t="s">
        <v>3764</v>
      </c>
      <c r="D1691" t="s">
        <v>50</v>
      </c>
      <c r="E1691" t="s">
        <v>51</v>
      </c>
      <c r="F1691" t="s">
        <v>3765</v>
      </c>
      <c r="G1691" t="str">
        <f>"00507446"</f>
        <v>00507446</v>
      </c>
      <c r="H1691">
        <v>14.4</v>
      </c>
      <c r="I1691">
        <v>0</v>
      </c>
      <c r="M1691">
        <v>0</v>
      </c>
      <c r="N1691">
        <v>0</v>
      </c>
      <c r="O1691">
        <v>0</v>
      </c>
      <c r="P1691">
        <v>14.4</v>
      </c>
      <c r="Q1691">
        <v>34</v>
      </c>
      <c r="R1691">
        <v>34</v>
      </c>
      <c r="S1691">
        <v>0</v>
      </c>
      <c r="T1691">
        <v>0</v>
      </c>
      <c r="U1691" s="1">
        <v>0</v>
      </c>
      <c r="V1691">
        <v>48.4</v>
      </c>
    </row>
    <row r="1692" spans="1:22" ht="15">
      <c r="A1692" s="4">
        <v>1685</v>
      </c>
      <c r="B1692">
        <v>1594</v>
      </c>
      <c r="C1692" t="s">
        <v>3766</v>
      </c>
      <c r="D1692" t="s">
        <v>735</v>
      </c>
      <c r="E1692" t="s">
        <v>51</v>
      </c>
      <c r="F1692" t="s">
        <v>3767</v>
      </c>
      <c r="G1692" t="str">
        <f>"00081125"</f>
        <v>00081125</v>
      </c>
      <c r="H1692">
        <v>28.36</v>
      </c>
      <c r="I1692">
        <v>0</v>
      </c>
      <c r="M1692">
        <v>4</v>
      </c>
      <c r="N1692">
        <v>0</v>
      </c>
      <c r="O1692">
        <v>0</v>
      </c>
      <c r="P1692">
        <v>32.36</v>
      </c>
      <c r="Q1692">
        <v>16</v>
      </c>
      <c r="R1692">
        <v>16</v>
      </c>
      <c r="S1692">
        <v>0</v>
      </c>
      <c r="T1692">
        <v>0</v>
      </c>
      <c r="U1692" s="1">
        <v>0</v>
      </c>
      <c r="V1692">
        <v>48.36</v>
      </c>
    </row>
    <row r="1693" spans="1:22" ht="15">
      <c r="A1693" s="4">
        <v>1686</v>
      </c>
      <c r="B1693">
        <v>1328</v>
      </c>
      <c r="C1693" t="s">
        <v>3768</v>
      </c>
      <c r="D1693" t="s">
        <v>1006</v>
      </c>
      <c r="E1693" t="s">
        <v>73</v>
      </c>
      <c r="F1693" t="s">
        <v>3769</v>
      </c>
      <c r="G1693" t="str">
        <f>"00497919"</f>
        <v>00497919</v>
      </c>
      <c r="H1693">
        <v>38.28</v>
      </c>
      <c r="I1693">
        <v>0</v>
      </c>
      <c r="M1693">
        <v>4</v>
      </c>
      <c r="N1693">
        <v>0</v>
      </c>
      <c r="O1693">
        <v>0</v>
      </c>
      <c r="P1693">
        <v>42.28</v>
      </c>
      <c r="Q1693">
        <v>0</v>
      </c>
      <c r="R1693">
        <v>0</v>
      </c>
      <c r="S1693">
        <v>6</v>
      </c>
      <c r="T1693">
        <v>0</v>
      </c>
      <c r="U1693" s="1">
        <v>0</v>
      </c>
      <c r="V1693">
        <v>48.28</v>
      </c>
    </row>
    <row r="1694" spans="1:22" ht="15">
      <c r="A1694" s="4">
        <v>1687</v>
      </c>
      <c r="B1694">
        <v>1304</v>
      </c>
      <c r="C1694" t="s">
        <v>2641</v>
      </c>
      <c r="D1694" t="s">
        <v>89</v>
      </c>
      <c r="E1694" t="s">
        <v>242</v>
      </c>
      <c r="F1694" t="s">
        <v>3770</v>
      </c>
      <c r="G1694" t="str">
        <f>"00505831"</f>
        <v>00505831</v>
      </c>
      <c r="H1694">
        <v>12.24</v>
      </c>
      <c r="I1694">
        <v>0</v>
      </c>
      <c r="M1694">
        <v>0</v>
      </c>
      <c r="N1694">
        <v>0</v>
      </c>
      <c r="O1694">
        <v>0</v>
      </c>
      <c r="P1694">
        <v>12.24</v>
      </c>
      <c r="Q1694">
        <v>24</v>
      </c>
      <c r="R1694">
        <v>24</v>
      </c>
      <c r="S1694">
        <v>12</v>
      </c>
      <c r="T1694">
        <v>0</v>
      </c>
      <c r="U1694" s="1">
        <v>0</v>
      </c>
      <c r="V1694">
        <v>48.24</v>
      </c>
    </row>
    <row r="1695" spans="1:22" ht="15">
      <c r="A1695" s="4">
        <v>1688</v>
      </c>
      <c r="B1695">
        <v>3320</v>
      </c>
      <c r="C1695" t="s">
        <v>3771</v>
      </c>
      <c r="D1695" t="s">
        <v>89</v>
      </c>
      <c r="E1695" t="s">
        <v>30</v>
      </c>
      <c r="F1695" t="s">
        <v>3772</v>
      </c>
      <c r="G1695" t="str">
        <f>"00441767"</f>
        <v>00441767</v>
      </c>
      <c r="H1695">
        <v>43.2</v>
      </c>
      <c r="I1695">
        <v>0</v>
      </c>
      <c r="M1695">
        <v>4</v>
      </c>
      <c r="N1695">
        <v>0</v>
      </c>
      <c r="O1695">
        <v>0</v>
      </c>
      <c r="P1695">
        <v>47.2</v>
      </c>
      <c r="Q1695">
        <v>1</v>
      </c>
      <c r="R1695">
        <v>1</v>
      </c>
      <c r="S1695">
        <v>0</v>
      </c>
      <c r="T1695">
        <v>0</v>
      </c>
      <c r="U1695" s="1">
        <v>0</v>
      </c>
      <c r="V1695">
        <v>48.2</v>
      </c>
    </row>
    <row r="1696" spans="1:22" ht="15">
      <c r="A1696" s="4">
        <v>1689</v>
      </c>
      <c r="B1696">
        <v>2598</v>
      </c>
      <c r="C1696" t="s">
        <v>3773</v>
      </c>
      <c r="D1696" t="s">
        <v>273</v>
      </c>
      <c r="E1696" t="s">
        <v>157</v>
      </c>
      <c r="F1696" t="s">
        <v>3774</v>
      </c>
      <c r="G1696" t="str">
        <f>"00532512"</f>
        <v>00532512</v>
      </c>
      <c r="H1696">
        <v>14.2</v>
      </c>
      <c r="I1696">
        <v>0</v>
      </c>
      <c r="M1696">
        <v>4</v>
      </c>
      <c r="N1696">
        <v>0</v>
      </c>
      <c r="O1696">
        <v>0</v>
      </c>
      <c r="P1696">
        <v>18.2</v>
      </c>
      <c r="Q1696">
        <v>30</v>
      </c>
      <c r="R1696">
        <v>30</v>
      </c>
      <c r="S1696">
        <v>0</v>
      </c>
      <c r="T1696">
        <v>0</v>
      </c>
      <c r="U1696" s="1">
        <v>0</v>
      </c>
      <c r="V1696">
        <v>48.2</v>
      </c>
    </row>
    <row r="1697" spans="1:22" ht="15">
      <c r="A1697" s="4">
        <v>1690</v>
      </c>
      <c r="B1697">
        <v>1033</v>
      </c>
      <c r="C1697" t="s">
        <v>3775</v>
      </c>
      <c r="D1697" t="s">
        <v>14</v>
      </c>
      <c r="E1697" t="s">
        <v>11</v>
      </c>
      <c r="F1697" t="s">
        <v>3776</v>
      </c>
      <c r="G1697" t="str">
        <f>"201511041914"</f>
        <v>201511041914</v>
      </c>
      <c r="H1697">
        <v>40</v>
      </c>
      <c r="I1697">
        <v>0</v>
      </c>
      <c r="L1697">
        <v>4</v>
      </c>
      <c r="M1697">
        <v>4</v>
      </c>
      <c r="N1697">
        <v>4</v>
      </c>
      <c r="O1697">
        <v>0</v>
      </c>
      <c r="P1697">
        <v>48</v>
      </c>
      <c r="Q1697">
        <v>0</v>
      </c>
      <c r="R1697">
        <v>0</v>
      </c>
      <c r="S1697">
        <v>0</v>
      </c>
      <c r="T1697">
        <v>0</v>
      </c>
      <c r="U1697" s="1">
        <v>0</v>
      </c>
      <c r="V1697">
        <v>48</v>
      </c>
    </row>
    <row r="1698" spans="1:22" ht="15">
      <c r="A1698" s="4">
        <v>1691</v>
      </c>
      <c r="B1698">
        <v>1530</v>
      </c>
      <c r="C1698" t="s">
        <v>3777</v>
      </c>
      <c r="D1698" t="s">
        <v>124</v>
      </c>
      <c r="E1698" t="s">
        <v>11</v>
      </c>
      <c r="F1698" t="s">
        <v>3778</v>
      </c>
      <c r="G1698" t="str">
        <f>"00530258"</f>
        <v>00530258</v>
      </c>
      <c r="H1698">
        <v>38</v>
      </c>
      <c r="I1698">
        <v>0</v>
      </c>
      <c r="M1698">
        <v>4</v>
      </c>
      <c r="N1698">
        <v>0</v>
      </c>
      <c r="O1698">
        <v>0</v>
      </c>
      <c r="P1698">
        <v>42</v>
      </c>
      <c r="Q1698">
        <v>0</v>
      </c>
      <c r="R1698">
        <v>0</v>
      </c>
      <c r="S1698">
        <v>6</v>
      </c>
      <c r="T1698">
        <v>0</v>
      </c>
      <c r="U1698" s="1">
        <v>0</v>
      </c>
      <c r="V1698">
        <v>48</v>
      </c>
    </row>
    <row r="1699" spans="1:22" ht="15">
      <c r="A1699" s="4">
        <v>1692</v>
      </c>
      <c r="B1699">
        <v>1565</v>
      </c>
      <c r="C1699" t="s">
        <v>2779</v>
      </c>
      <c r="D1699" t="s">
        <v>1876</v>
      </c>
      <c r="E1699" t="s">
        <v>47</v>
      </c>
      <c r="F1699" t="s">
        <v>3779</v>
      </c>
      <c r="G1699" t="str">
        <f>"00507546"</f>
        <v>00507546</v>
      </c>
      <c r="H1699">
        <v>36</v>
      </c>
      <c r="I1699">
        <v>0</v>
      </c>
      <c r="L1699">
        <v>4</v>
      </c>
      <c r="M1699">
        <v>0</v>
      </c>
      <c r="N1699">
        <v>4</v>
      </c>
      <c r="O1699">
        <v>0</v>
      </c>
      <c r="P1699">
        <v>40</v>
      </c>
      <c r="Q1699">
        <v>5</v>
      </c>
      <c r="R1699">
        <v>5</v>
      </c>
      <c r="S1699">
        <v>3</v>
      </c>
      <c r="T1699">
        <v>0</v>
      </c>
      <c r="U1699" s="1">
        <v>0</v>
      </c>
      <c r="V1699">
        <v>48</v>
      </c>
    </row>
    <row r="1700" spans="1:22" ht="15">
      <c r="A1700" s="4">
        <v>1693</v>
      </c>
      <c r="B1700">
        <v>1345</v>
      </c>
      <c r="C1700" t="s">
        <v>227</v>
      </c>
      <c r="D1700" t="s">
        <v>14</v>
      </c>
      <c r="E1700" t="s">
        <v>23</v>
      </c>
      <c r="F1700" t="s">
        <v>3780</v>
      </c>
      <c r="G1700" t="str">
        <f>"00531420"</f>
        <v>00531420</v>
      </c>
      <c r="H1700">
        <v>4</v>
      </c>
      <c r="I1700">
        <v>10</v>
      </c>
      <c r="L1700">
        <v>4</v>
      </c>
      <c r="M1700">
        <v>4</v>
      </c>
      <c r="N1700">
        <v>4</v>
      </c>
      <c r="O1700">
        <v>0</v>
      </c>
      <c r="P1700">
        <v>22</v>
      </c>
      <c r="Q1700">
        <v>26</v>
      </c>
      <c r="R1700">
        <v>26</v>
      </c>
      <c r="S1700">
        <v>0</v>
      </c>
      <c r="T1700">
        <v>0</v>
      </c>
      <c r="U1700" s="1">
        <v>0</v>
      </c>
      <c r="V1700">
        <v>48</v>
      </c>
    </row>
    <row r="1701" spans="1:22" ht="15">
      <c r="A1701" s="4">
        <v>1694</v>
      </c>
      <c r="B1701">
        <v>1351</v>
      </c>
      <c r="C1701" t="s">
        <v>3781</v>
      </c>
      <c r="D1701" t="s">
        <v>193</v>
      </c>
      <c r="E1701" t="s">
        <v>11</v>
      </c>
      <c r="F1701" t="s">
        <v>3782</v>
      </c>
      <c r="G1701" t="str">
        <f>"00176675"</f>
        <v>00176675</v>
      </c>
      <c r="H1701">
        <v>36</v>
      </c>
      <c r="I1701">
        <v>0</v>
      </c>
      <c r="L1701">
        <v>8</v>
      </c>
      <c r="M1701">
        <v>4</v>
      </c>
      <c r="N1701">
        <v>8</v>
      </c>
      <c r="O1701">
        <v>0</v>
      </c>
      <c r="P1701">
        <v>48</v>
      </c>
      <c r="Q1701">
        <v>0</v>
      </c>
      <c r="R1701">
        <v>0</v>
      </c>
      <c r="S1701">
        <v>0</v>
      </c>
      <c r="T1701">
        <v>0</v>
      </c>
      <c r="U1701" s="1">
        <v>0</v>
      </c>
      <c r="V1701">
        <v>48</v>
      </c>
    </row>
    <row r="1702" spans="1:22" ht="15">
      <c r="A1702" s="4">
        <v>1695</v>
      </c>
      <c r="B1702">
        <v>2426</v>
      </c>
      <c r="C1702" t="s">
        <v>3783</v>
      </c>
      <c r="D1702" t="s">
        <v>3784</v>
      </c>
      <c r="E1702" t="s">
        <v>472</v>
      </c>
      <c r="F1702" t="s">
        <v>3785</v>
      </c>
      <c r="G1702" t="str">
        <f>"00513681"</f>
        <v>00513681</v>
      </c>
      <c r="H1702">
        <v>36</v>
      </c>
      <c r="I1702">
        <v>0</v>
      </c>
      <c r="L1702">
        <v>8</v>
      </c>
      <c r="M1702">
        <v>4</v>
      </c>
      <c r="N1702">
        <v>8</v>
      </c>
      <c r="O1702">
        <v>0</v>
      </c>
      <c r="P1702">
        <v>48</v>
      </c>
      <c r="Q1702">
        <v>0</v>
      </c>
      <c r="R1702">
        <v>0</v>
      </c>
      <c r="S1702">
        <v>0</v>
      </c>
      <c r="T1702">
        <v>0</v>
      </c>
      <c r="U1702" s="1">
        <v>0</v>
      </c>
      <c r="V1702">
        <v>48</v>
      </c>
    </row>
    <row r="1703" spans="1:22" ht="15">
      <c r="A1703" s="4">
        <v>1696</v>
      </c>
      <c r="B1703">
        <v>1995</v>
      </c>
      <c r="C1703" t="s">
        <v>3786</v>
      </c>
      <c r="D1703" t="s">
        <v>176</v>
      </c>
      <c r="E1703" t="s">
        <v>90</v>
      </c>
      <c r="F1703" t="s">
        <v>3787</v>
      </c>
      <c r="G1703" t="str">
        <f>"00442243"</f>
        <v>00442243</v>
      </c>
      <c r="H1703">
        <v>20</v>
      </c>
      <c r="I1703">
        <v>10</v>
      </c>
      <c r="M1703">
        <v>4</v>
      </c>
      <c r="N1703">
        <v>0</v>
      </c>
      <c r="O1703">
        <v>0</v>
      </c>
      <c r="P1703">
        <v>34</v>
      </c>
      <c r="Q1703">
        <v>8</v>
      </c>
      <c r="R1703">
        <v>8</v>
      </c>
      <c r="S1703">
        <v>6</v>
      </c>
      <c r="T1703">
        <v>0</v>
      </c>
      <c r="U1703" s="1">
        <v>0</v>
      </c>
      <c r="V1703">
        <v>48</v>
      </c>
    </row>
    <row r="1704" spans="1:22" ht="15">
      <c r="A1704" s="4">
        <v>1697</v>
      </c>
      <c r="B1704">
        <v>3383</v>
      </c>
      <c r="C1704" t="s">
        <v>3788</v>
      </c>
      <c r="D1704" t="s">
        <v>14</v>
      </c>
      <c r="E1704" t="s">
        <v>99</v>
      </c>
      <c r="F1704" t="s">
        <v>3789</v>
      </c>
      <c r="G1704" t="str">
        <f>"201507001121"</f>
        <v>201507001121</v>
      </c>
      <c r="H1704">
        <v>36</v>
      </c>
      <c r="I1704">
        <v>0</v>
      </c>
      <c r="J1704">
        <v>8</v>
      </c>
      <c r="M1704">
        <v>4</v>
      </c>
      <c r="N1704">
        <v>8</v>
      </c>
      <c r="O1704">
        <v>0</v>
      </c>
      <c r="P1704">
        <v>48</v>
      </c>
      <c r="Q1704">
        <v>0</v>
      </c>
      <c r="R1704">
        <v>0</v>
      </c>
      <c r="S1704">
        <v>0</v>
      </c>
      <c r="T1704">
        <v>0</v>
      </c>
      <c r="U1704" s="1">
        <v>0</v>
      </c>
      <c r="V1704">
        <v>48</v>
      </c>
    </row>
    <row r="1705" spans="1:22" ht="15">
      <c r="A1705" s="4">
        <v>1698</v>
      </c>
      <c r="B1705">
        <v>2480</v>
      </c>
      <c r="C1705" t="s">
        <v>3790</v>
      </c>
      <c r="D1705" t="s">
        <v>1876</v>
      </c>
      <c r="E1705" t="s">
        <v>19</v>
      </c>
      <c r="F1705" t="s">
        <v>3791</v>
      </c>
      <c r="G1705" t="str">
        <f>"00448071"</f>
        <v>00448071</v>
      </c>
      <c r="H1705">
        <v>40</v>
      </c>
      <c r="I1705">
        <v>0</v>
      </c>
      <c r="L1705">
        <v>4</v>
      </c>
      <c r="M1705">
        <v>4</v>
      </c>
      <c r="N1705">
        <v>4</v>
      </c>
      <c r="O1705">
        <v>0</v>
      </c>
      <c r="P1705">
        <v>48</v>
      </c>
      <c r="Q1705">
        <v>0</v>
      </c>
      <c r="R1705">
        <v>0</v>
      </c>
      <c r="S1705">
        <v>0</v>
      </c>
      <c r="T1705">
        <v>0</v>
      </c>
      <c r="U1705" s="1">
        <v>0</v>
      </c>
      <c r="V1705">
        <v>48</v>
      </c>
    </row>
    <row r="1706" spans="1:22" ht="15">
      <c r="A1706" s="4">
        <v>1699</v>
      </c>
      <c r="B1706">
        <v>2035</v>
      </c>
      <c r="C1706" t="s">
        <v>3792</v>
      </c>
      <c r="D1706" t="s">
        <v>367</v>
      </c>
      <c r="E1706" t="s">
        <v>317</v>
      </c>
      <c r="F1706" t="s">
        <v>3793</v>
      </c>
      <c r="G1706" t="str">
        <f>"00530240"</f>
        <v>00530240</v>
      </c>
      <c r="H1706">
        <v>18.16</v>
      </c>
      <c r="I1706">
        <v>0</v>
      </c>
      <c r="M1706">
        <v>0</v>
      </c>
      <c r="N1706">
        <v>0</v>
      </c>
      <c r="O1706">
        <v>0</v>
      </c>
      <c r="P1706">
        <v>18.16</v>
      </c>
      <c r="Q1706">
        <v>0</v>
      </c>
      <c r="R1706">
        <v>0</v>
      </c>
      <c r="S1706">
        <v>3</v>
      </c>
      <c r="T1706">
        <v>26.8</v>
      </c>
      <c r="U1706" s="1">
        <v>0</v>
      </c>
      <c r="V1706">
        <v>47.96</v>
      </c>
    </row>
    <row r="1707" spans="1:22" ht="15">
      <c r="A1707" s="4">
        <v>1700</v>
      </c>
      <c r="B1707">
        <v>13</v>
      </c>
      <c r="C1707" t="s">
        <v>3794</v>
      </c>
      <c r="D1707" t="s">
        <v>14</v>
      </c>
      <c r="E1707" t="s">
        <v>23</v>
      </c>
      <c r="F1707" t="s">
        <v>3795</v>
      </c>
      <c r="G1707" t="str">
        <f>"00463291"</f>
        <v>00463291</v>
      </c>
      <c r="H1707">
        <v>30.92</v>
      </c>
      <c r="I1707">
        <v>10</v>
      </c>
      <c r="L1707">
        <v>4</v>
      </c>
      <c r="M1707">
        <v>0</v>
      </c>
      <c r="N1707">
        <v>4</v>
      </c>
      <c r="O1707">
        <v>0</v>
      </c>
      <c r="P1707">
        <v>44.92</v>
      </c>
      <c r="Q1707">
        <v>0</v>
      </c>
      <c r="R1707">
        <v>0</v>
      </c>
      <c r="S1707">
        <v>3</v>
      </c>
      <c r="T1707">
        <v>0</v>
      </c>
      <c r="U1707" s="1">
        <v>0</v>
      </c>
      <c r="V1707">
        <v>47.92</v>
      </c>
    </row>
    <row r="1708" spans="1:22" ht="15">
      <c r="A1708" s="4">
        <v>1701</v>
      </c>
      <c r="B1708">
        <v>100</v>
      </c>
      <c r="C1708" t="s">
        <v>430</v>
      </c>
      <c r="D1708" t="s">
        <v>26</v>
      </c>
      <c r="E1708" t="s">
        <v>30</v>
      </c>
      <c r="F1708" t="s">
        <v>3796</v>
      </c>
      <c r="G1708" t="str">
        <f>"201511008658"</f>
        <v>201511008658</v>
      </c>
      <c r="H1708">
        <v>33.84</v>
      </c>
      <c r="I1708">
        <v>10</v>
      </c>
      <c r="M1708">
        <v>4</v>
      </c>
      <c r="N1708">
        <v>0</v>
      </c>
      <c r="O1708">
        <v>0</v>
      </c>
      <c r="P1708">
        <v>47.84</v>
      </c>
      <c r="Q1708">
        <v>0</v>
      </c>
      <c r="R1708">
        <v>0</v>
      </c>
      <c r="S1708">
        <v>0</v>
      </c>
      <c r="T1708">
        <v>0</v>
      </c>
      <c r="U1708" s="1">
        <v>0</v>
      </c>
      <c r="V1708">
        <v>47.84</v>
      </c>
    </row>
    <row r="1709" spans="1:22" ht="15">
      <c r="A1709" s="4">
        <v>1702</v>
      </c>
      <c r="B1709">
        <v>2609</v>
      </c>
      <c r="C1709" t="s">
        <v>3797</v>
      </c>
      <c r="D1709" t="s">
        <v>76</v>
      </c>
      <c r="E1709" t="s">
        <v>295</v>
      </c>
      <c r="F1709" t="s">
        <v>3798</v>
      </c>
      <c r="G1709" t="str">
        <f>"00532080"</f>
        <v>00532080</v>
      </c>
      <c r="H1709">
        <v>28.8</v>
      </c>
      <c r="I1709">
        <v>0</v>
      </c>
      <c r="M1709">
        <v>4</v>
      </c>
      <c r="N1709">
        <v>0</v>
      </c>
      <c r="O1709">
        <v>0</v>
      </c>
      <c r="P1709">
        <v>32.8</v>
      </c>
      <c r="Q1709">
        <v>15</v>
      </c>
      <c r="R1709">
        <v>15</v>
      </c>
      <c r="S1709">
        <v>0</v>
      </c>
      <c r="T1709">
        <v>0</v>
      </c>
      <c r="U1709" s="1">
        <v>0</v>
      </c>
      <c r="V1709">
        <v>47.8</v>
      </c>
    </row>
    <row r="1710" spans="1:22" ht="15">
      <c r="A1710" s="4">
        <v>1703</v>
      </c>
      <c r="B1710">
        <v>1242</v>
      </c>
      <c r="C1710" t="s">
        <v>3799</v>
      </c>
      <c r="D1710" t="s">
        <v>643</v>
      </c>
      <c r="E1710" t="s">
        <v>90</v>
      </c>
      <c r="F1710" t="s">
        <v>3800</v>
      </c>
      <c r="G1710" t="str">
        <f>"00150921"</f>
        <v>00150921</v>
      </c>
      <c r="H1710">
        <v>18.8</v>
      </c>
      <c r="I1710">
        <v>0</v>
      </c>
      <c r="M1710">
        <v>4</v>
      </c>
      <c r="N1710">
        <v>0</v>
      </c>
      <c r="O1710">
        <v>2</v>
      </c>
      <c r="P1710">
        <v>24.8</v>
      </c>
      <c r="Q1710">
        <v>23</v>
      </c>
      <c r="R1710">
        <v>23</v>
      </c>
      <c r="S1710">
        <v>0</v>
      </c>
      <c r="T1710">
        <v>0</v>
      </c>
      <c r="U1710" s="1">
        <v>0</v>
      </c>
      <c r="V1710">
        <v>47.8</v>
      </c>
    </row>
    <row r="1711" spans="1:22" ht="15">
      <c r="A1711" s="4">
        <v>1704</v>
      </c>
      <c r="B1711">
        <v>1683</v>
      </c>
      <c r="C1711" t="s">
        <v>3801</v>
      </c>
      <c r="D1711" t="s">
        <v>1202</v>
      </c>
      <c r="E1711" t="s">
        <v>90</v>
      </c>
      <c r="F1711" t="s">
        <v>3802</v>
      </c>
      <c r="G1711" t="str">
        <f>"201402006545"</f>
        <v>201402006545</v>
      </c>
      <c r="H1711">
        <v>28.8</v>
      </c>
      <c r="I1711">
        <v>10</v>
      </c>
      <c r="M1711">
        <v>4</v>
      </c>
      <c r="N1711">
        <v>0</v>
      </c>
      <c r="O1711">
        <v>2</v>
      </c>
      <c r="P1711">
        <v>44.8</v>
      </c>
      <c r="Q1711">
        <v>0</v>
      </c>
      <c r="R1711">
        <v>0</v>
      </c>
      <c r="S1711">
        <v>3</v>
      </c>
      <c r="T1711">
        <v>0</v>
      </c>
      <c r="U1711" s="1">
        <v>0</v>
      </c>
      <c r="V1711">
        <v>47.8</v>
      </c>
    </row>
    <row r="1712" spans="1:22" ht="15">
      <c r="A1712" s="4">
        <v>1705</v>
      </c>
      <c r="B1712">
        <v>1827</v>
      </c>
      <c r="C1712" t="s">
        <v>3803</v>
      </c>
      <c r="D1712" t="s">
        <v>367</v>
      </c>
      <c r="E1712" t="s">
        <v>30</v>
      </c>
      <c r="F1712" t="s">
        <v>3804</v>
      </c>
      <c r="G1712" t="str">
        <f>"00526474"</f>
        <v>00526474</v>
      </c>
      <c r="H1712">
        <v>37.76</v>
      </c>
      <c r="I1712">
        <v>0</v>
      </c>
      <c r="L1712">
        <v>4</v>
      </c>
      <c r="M1712">
        <v>0</v>
      </c>
      <c r="N1712">
        <v>4</v>
      </c>
      <c r="O1712">
        <v>0</v>
      </c>
      <c r="P1712">
        <v>41.76</v>
      </c>
      <c r="Q1712">
        <v>0</v>
      </c>
      <c r="R1712">
        <v>0</v>
      </c>
      <c r="S1712">
        <v>6</v>
      </c>
      <c r="T1712">
        <v>0</v>
      </c>
      <c r="U1712" s="1">
        <v>0</v>
      </c>
      <c r="V1712">
        <v>47.76</v>
      </c>
    </row>
    <row r="1713" spans="1:22" ht="15">
      <c r="A1713" s="4">
        <v>1706</v>
      </c>
      <c r="B1713">
        <v>2933</v>
      </c>
      <c r="C1713" t="s">
        <v>3805</v>
      </c>
      <c r="D1713" t="s">
        <v>83</v>
      </c>
      <c r="E1713" t="s">
        <v>59</v>
      </c>
      <c r="F1713" t="s">
        <v>3806</v>
      </c>
      <c r="G1713" t="str">
        <f>"00091876"</f>
        <v>00091876</v>
      </c>
      <c r="H1713">
        <v>30.68</v>
      </c>
      <c r="I1713">
        <v>0</v>
      </c>
      <c r="L1713">
        <v>4</v>
      </c>
      <c r="M1713">
        <v>0</v>
      </c>
      <c r="N1713">
        <v>4</v>
      </c>
      <c r="O1713">
        <v>0</v>
      </c>
      <c r="P1713">
        <v>34.68</v>
      </c>
      <c r="Q1713">
        <v>13</v>
      </c>
      <c r="R1713">
        <v>13</v>
      </c>
      <c r="S1713">
        <v>0</v>
      </c>
      <c r="T1713">
        <v>0</v>
      </c>
      <c r="U1713" s="1">
        <v>0</v>
      </c>
      <c r="V1713">
        <v>47.68</v>
      </c>
    </row>
    <row r="1714" spans="1:22" ht="15">
      <c r="A1714" s="4">
        <v>1707</v>
      </c>
      <c r="B1714">
        <v>1161</v>
      </c>
      <c r="C1714" t="s">
        <v>3807</v>
      </c>
      <c r="D1714" t="s">
        <v>14</v>
      </c>
      <c r="E1714" t="s">
        <v>59</v>
      </c>
      <c r="F1714" t="s">
        <v>3808</v>
      </c>
      <c r="G1714" t="str">
        <f>"00441894"</f>
        <v>00441894</v>
      </c>
      <c r="H1714">
        <v>35.68</v>
      </c>
      <c r="I1714">
        <v>0</v>
      </c>
      <c r="M1714">
        <v>0</v>
      </c>
      <c r="N1714">
        <v>0</v>
      </c>
      <c r="O1714">
        <v>0</v>
      </c>
      <c r="P1714">
        <v>35.68</v>
      </c>
      <c r="Q1714">
        <v>6</v>
      </c>
      <c r="R1714">
        <v>6</v>
      </c>
      <c r="S1714">
        <v>6</v>
      </c>
      <c r="T1714">
        <v>0</v>
      </c>
      <c r="U1714" s="1">
        <v>0</v>
      </c>
      <c r="V1714">
        <v>47.68</v>
      </c>
    </row>
    <row r="1715" spans="1:22" ht="15">
      <c r="A1715" s="4">
        <v>1708</v>
      </c>
      <c r="B1715">
        <v>1860</v>
      </c>
      <c r="C1715" t="s">
        <v>1382</v>
      </c>
      <c r="D1715" t="s">
        <v>485</v>
      </c>
      <c r="E1715" t="s">
        <v>1672</v>
      </c>
      <c r="F1715" t="s">
        <v>3809</v>
      </c>
      <c r="G1715" t="str">
        <f>"00530838"</f>
        <v>00530838</v>
      </c>
      <c r="H1715">
        <v>25.6</v>
      </c>
      <c r="I1715">
        <v>0</v>
      </c>
      <c r="J1715">
        <v>8</v>
      </c>
      <c r="L1715">
        <v>4</v>
      </c>
      <c r="M1715">
        <v>4</v>
      </c>
      <c r="N1715">
        <v>12</v>
      </c>
      <c r="O1715">
        <v>0</v>
      </c>
      <c r="P1715">
        <v>41.6</v>
      </c>
      <c r="Q1715">
        <v>0</v>
      </c>
      <c r="R1715">
        <v>0</v>
      </c>
      <c r="S1715">
        <v>6</v>
      </c>
      <c r="T1715">
        <v>0</v>
      </c>
      <c r="U1715" s="1">
        <v>0</v>
      </c>
      <c r="V1715">
        <v>47.6</v>
      </c>
    </row>
    <row r="1716" spans="1:22" ht="15">
      <c r="A1716" s="4">
        <v>1709</v>
      </c>
      <c r="B1716">
        <v>226</v>
      </c>
      <c r="C1716" t="s">
        <v>3810</v>
      </c>
      <c r="D1716" t="s">
        <v>357</v>
      </c>
      <c r="E1716" t="s">
        <v>11</v>
      </c>
      <c r="F1716">
        <v>786102</v>
      </c>
      <c r="G1716" t="str">
        <f>"00082051"</f>
        <v>00082051</v>
      </c>
      <c r="H1716">
        <v>21.6</v>
      </c>
      <c r="I1716">
        <v>10</v>
      </c>
      <c r="M1716">
        <v>4</v>
      </c>
      <c r="N1716">
        <v>0</v>
      </c>
      <c r="O1716">
        <v>0</v>
      </c>
      <c r="P1716">
        <v>35.6</v>
      </c>
      <c r="Q1716">
        <v>0</v>
      </c>
      <c r="R1716">
        <v>0</v>
      </c>
      <c r="S1716">
        <v>12</v>
      </c>
      <c r="T1716">
        <v>0</v>
      </c>
      <c r="U1716" s="1">
        <v>0</v>
      </c>
      <c r="V1716">
        <v>47.6</v>
      </c>
    </row>
    <row r="1717" spans="1:22" ht="15">
      <c r="A1717" s="4">
        <v>1710</v>
      </c>
      <c r="B1717">
        <v>1130</v>
      </c>
      <c r="C1717" t="s">
        <v>3811</v>
      </c>
      <c r="D1717" t="s">
        <v>2021</v>
      </c>
      <c r="E1717" t="s">
        <v>1401</v>
      </c>
      <c r="F1717" t="s">
        <v>3812</v>
      </c>
      <c r="G1717" t="str">
        <f>"201511012730"</f>
        <v>201511012730</v>
      </c>
      <c r="H1717">
        <v>23.6</v>
      </c>
      <c r="I1717">
        <v>0</v>
      </c>
      <c r="M1717">
        <v>4</v>
      </c>
      <c r="N1717">
        <v>0</v>
      </c>
      <c r="O1717">
        <v>0</v>
      </c>
      <c r="P1717">
        <v>27.6</v>
      </c>
      <c r="Q1717">
        <v>20</v>
      </c>
      <c r="R1717">
        <v>20</v>
      </c>
      <c r="S1717">
        <v>0</v>
      </c>
      <c r="T1717">
        <v>0</v>
      </c>
      <c r="U1717" s="1">
        <v>0</v>
      </c>
      <c r="V1717">
        <v>47.6</v>
      </c>
    </row>
    <row r="1718" spans="1:22" ht="15">
      <c r="A1718" s="4">
        <v>1711</v>
      </c>
      <c r="B1718">
        <v>3102</v>
      </c>
      <c r="C1718" t="s">
        <v>3102</v>
      </c>
      <c r="D1718" t="s">
        <v>90</v>
      </c>
      <c r="E1718" t="s">
        <v>157</v>
      </c>
      <c r="F1718" t="s">
        <v>3813</v>
      </c>
      <c r="G1718" t="str">
        <f>"00499150"</f>
        <v>00499150</v>
      </c>
      <c r="H1718">
        <v>39.6</v>
      </c>
      <c r="I1718">
        <v>0</v>
      </c>
      <c r="L1718">
        <v>4</v>
      </c>
      <c r="M1718">
        <v>4</v>
      </c>
      <c r="N1718">
        <v>4</v>
      </c>
      <c r="O1718">
        <v>0</v>
      </c>
      <c r="P1718">
        <v>47.6</v>
      </c>
      <c r="Q1718">
        <v>0</v>
      </c>
      <c r="R1718">
        <v>0</v>
      </c>
      <c r="S1718">
        <v>0</v>
      </c>
      <c r="T1718">
        <v>0</v>
      </c>
      <c r="U1718" s="1">
        <v>0</v>
      </c>
      <c r="V1718">
        <v>47.6</v>
      </c>
    </row>
    <row r="1719" spans="1:22" ht="15">
      <c r="A1719" s="4">
        <v>1712</v>
      </c>
      <c r="B1719">
        <v>3358</v>
      </c>
      <c r="C1719" t="s">
        <v>3814</v>
      </c>
      <c r="D1719" t="s">
        <v>68</v>
      </c>
      <c r="E1719" t="s">
        <v>86</v>
      </c>
      <c r="F1719" t="s">
        <v>3815</v>
      </c>
      <c r="G1719" t="str">
        <f>"00533505"</f>
        <v>00533505</v>
      </c>
      <c r="H1719">
        <v>14.56</v>
      </c>
      <c r="I1719">
        <v>0</v>
      </c>
      <c r="M1719">
        <v>0</v>
      </c>
      <c r="N1719">
        <v>0</v>
      </c>
      <c r="O1719">
        <v>0</v>
      </c>
      <c r="P1719">
        <v>14.56</v>
      </c>
      <c r="Q1719">
        <v>33</v>
      </c>
      <c r="R1719">
        <v>33</v>
      </c>
      <c r="S1719">
        <v>0</v>
      </c>
      <c r="T1719">
        <v>0</v>
      </c>
      <c r="U1719" s="1">
        <v>0</v>
      </c>
      <c r="V1719">
        <v>47.56</v>
      </c>
    </row>
    <row r="1720" spans="1:22" ht="15">
      <c r="A1720" s="4">
        <v>1713</v>
      </c>
      <c r="B1720">
        <v>496</v>
      </c>
      <c r="C1720" t="s">
        <v>3816</v>
      </c>
      <c r="D1720" t="s">
        <v>3817</v>
      </c>
      <c r="E1720" t="s">
        <v>86</v>
      </c>
      <c r="F1720" t="s">
        <v>3818</v>
      </c>
      <c r="G1720" t="str">
        <f>"00526800"</f>
        <v>00526800</v>
      </c>
      <c r="H1720">
        <v>35.56</v>
      </c>
      <c r="I1720">
        <v>0</v>
      </c>
      <c r="M1720">
        <v>4</v>
      </c>
      <c r="N1720">
        <v>0</v>
      </c>
      <c r="O1720">
        <v>2</v>
      </c>
      <c r="P1720">
        <v>41.56</v>
      </c>
      <c r="Q1720">
        <v>0</v>
      </c>
      <c r="R1720">
        <v>0</v>
      </c>
      <c r="S1720">
        <v>6</v>
      </c>
      <c r="T1720">
        <v>0</v>
      </c>
      <c r="U1720" s="1">
        <v>0</v>
      </c>
      <c r="V1720">
        <v>47.56</v>
      </c>
    </row>
    <row r="1721" spans="1:22" ht="15">
      <c r="A1721" s="4">
        <v>1714</v>
      </c>
      <c r="B1721">
        <v>542</v>
      </c>
      <c r="C1721" t="s">
        <v>3819</v>
      </c>
      <c r="D1721" t="s">
        <v>127</v>
      </c>
      <c r="E1721" t="s">
        <v>90</v>
      </c>
      <c r="F1721" t="s">
        <v>3820</v>
      </c>
      <c r="G1721" t="str">
        <f>"00529855"</f>
        <v>00529855</v>
      </c>
      <c r="H1721">
        <v>14.4</v>
      </c>
      <c r="I1721">
        <v>0</v>
      </c>
      <c r="M1721">
        <v>4</v>
      </c>
      <c r="N1721">
        <v>0</v>
      </c>
      <c r="O1721">
        <v>2</v>
      </c>
      <c r="P1721">
        <v>20.4</v>
      </c>
      <c r="Q1721">
        <v>24</v>
      </c>
      <c r="R1721">
        <v>24</v>
      </c>
      <c r="S1721">
        <v>3</v>
      </c>
      <c r="T1721">
        <v>0</v>
      </c>
      <c r="U1721" s="1">
        <v>0</v>
      </c>
      <c r="V1721">
        <v>47.4</v>
      </c>
    </row>
    <row r="1722" spans="1:22" ht="15">
      <c r="A1722" s="4">
        <v>1715</v>
      </c>
      <c r="B1722">
        <v>3276</v>
      </c>
      <c r="C1722" t="s">
        <v>3821</v>
      </c>
      <c r="D1722" t="s">
        <v>58</v>
      </c>
      <c r="E1722" t="s">
        <v>3822</v>
      </c>
      <c r="F1722" t="s">
        <v>3823</v>
      </c>
      <c r="G1722" t="str">
        <f>"00149880"</f>
        <v>00149880</v>
      </c>
      <c r="H1722">
        <v>33.32</v>
      </c>
      <c r="I1722">
        <v>0</v>
      </c>
      <c r="L1722">
        <v>4</v>
      </c>
      <c r="M1722">
        <v>4</v>
      </c>
      <c r="N1722">
        <v>4</v>
      </c>
      <c r="O1722">
        <v>0</v>
      </c>
      <c r="P1722">
        <v>41.32</v>
      </c>
      <c r="Q1722">
        <v>0</v>
      </c>
      <c r="R1722">
        <v>0</v>
      </c>
      <c r="S1722">
        <v>6</v>
      </c>
      <c r="T1722">
        <v>0</v>
      </c>
      <c r="U1722" s="1">
        <v>0</v>
      </c>
      <c r="V1722">
        <v>47.32</v>
      </c>
    </row>
    <row r="1723" spans="1:22" ht="15">
      <c r="A1723" s="4">
        <v>1716</v>
      </c>
      <c r="B1723">
        <v>1961</v>
      </c>
      <c r="C1723" t="s">
        <v>1740</v>
      </c>
      <c r="D1723" t="s">
        <v>3824</v>
      </c>
      <c r="E1723" t="s">
        <v>11</v>
      </c>
      <c r="F1723" t="s">
        <v>3825</v>
      </c>
      <c r="G1723" t="str">
        <f>"00528728"</f>
        <v>00528728</v>
      </c>
      <c r="H1723">
        <v>37.32</v>
      </c>
      <c r="I1723">
        <v>0</v>
      </c>
      <c r="L1723">
        <v>4</v>
      </c>
      <c r="M1723">
        <v>0</v>
      </c>
      <c r="N1723">
        <v>4</v>
      </c>
      <c r="O1723">
        <v>0</v>
      </c>
      <c r="P1723">
        <v>41.32</v>
      </c>
      <c r="Q1723">
        <v>0</v>
      </c>
      <c r="R1723">
        <v>0</v>
      </c>
      <c r="S1723">
        <v>6</v>
      </c>
      <c r="T1723">
        <v>0</v>
      </c>
      <c r="U1723" s="1">
        <v>0</v>
      </c>
      <c r="V1723">
        <v>47.32</v>
      </c>
    </row>
    <row r="1724" spans="1:22" ht="15">
      <c r="A1724" s="4">
        <v>1717</v>
      </c>
      <c r="B1724">
        <v>1774</v>
      </c>
      <c r="C1724" t="s">
        <v>3826</v>
      </c>
      <c r="D1724" t="s">
        <v>89</v>
      </c>
      <c r="E1724" t="s">
        <v>225</v>
      </c>
      <c r="F1724" t="s">
        <v>3827</v>
      </c>
      <c r="G1724" t="str">
        <f>"00513822"</f>
        <v>00513822</v>
      </c>
      <c r="H1724">
        <v>28.28</v>
      </c>
      <c r="I1724">
        <v>10</v>
      </c>
      <c r="M1724">
        <v>0</v>
      </c>
      <c r="N1724">
        <v>0</v>
      </c>
      <c r="O1724">
        <v>0</v>
      </c>
      <c r="P1724">
        <v>38.28</v>
      </c>
      <c r="Q1724">
        <v>6</v>
      </c>
      <c r="R1724">
        <v>6</v>
      </c>
      <c r="S1724">
        <v>3</v>
      </c>
      <c r="T1724">
        <v>0</v>
      </c>
      <c r="U1724" s="1">
        <v>0</v>
      </c>
      <c r="V1724">
        <v>47.28</v>
      </c>
    </row>
    <row r="1725" spans="1:22" ht="15">
      <c r="A1725" s="4">
        <v>1718</v>
      </c>
      <c r="B1725">
        <v>263</v>
      </c>
      <c r="C1725" t="s">
        <v>3828</v>
      </c>
      <c r="D1725" t="s">
        <v>1424</v>
      </c>
      <c r="E1725" t="s">
        <v>440</v>
      </c>
      <c r="F1725" t="s">
        <v>3829</v>
      </c>
      <c r="G1725" t="str">
        <f>"201511036903"</f>
        <v>201511036903</v>
      </c>
      <c r="H1725">
        <v>35.28</v>
      </c>
      <c r="I1725">
        <v>0</v>
      </c>
      <c r="J1725">
        <v>8</v>
      </c>
      <c r="L1725">
        <v>4</v>
      </c>
      <c r="M1725">
        <v>0</v>
      </c>
      <c r="N1725">
        <v>12</v>
      </c>
      <c r="O1725">
        <v>0</v>
      </c>
      <c r="P1725">
        <v>47.28</v>
      </c>
      <c r="Q1725">
        <v>0</v>
      </c>
      <c r="R1725">
        <v>0</v>
      </c>
      <c r="S1725">
        <v>0</v>
      </c>
      <c r="T1725">
        <v>0</v>
      </c>
      <c r="U1725" s="1">
        <v>0</v>
      </c>
      <c r="V1725">
        <v>47.28</v>
      </c>
    </row>
    <row r="1726" spans="1:22" ht="15">
      <c r="A1726" s="4">
        <v>1719</v>
      </c>
      <c r="B1726">
        <v>880</v>
      </c>
      <c r="C1726" t="s">
        <v>3830</v>
      </c>
      <c r="D1726" t="s">
        <v>511</v>
      </c>
      <c r="E1726" t="s">
        <v>15</v>
      </c>
      <c r="F1726" t="s">
        <v>3831</v>
      </c>
      <c r="G1726" t="str">
        <f>"201511031150"</f>
        <v>201511031150</v>
      </c>
      <c r="H1726">
        <v>43.2</v>
      </c>
      <c r="I1726">
        <v>0</v>
      </c>
      <c r="M1726">
        <v>4</v>
      </c>
      <c r="N1726">
        <v>0</v>
      </c>
      <c r="O1726">
        <v>0</v>
      </c>
      <c r="P1726">
        <v>47.2</v>
      </c>
      <c r="Q1726">
        <v>0</v>
      </c>
      <c r="R1726">
        <v>0</v>
      </c>
      <c r="S1726">
        <v>0</v>
      </c>
      <c r="T1726">
        <v>0</v>
      </c>
      <c r="U1726" s="1">
        <v>0</v>
      </c>
      <c r="V1726">
        <v>47.2</v>
      </c>
    </row>
    <row r="1727" spans="1:22" ht="15">
      <c r="A1727" s="4">
        <v>1720</v>
      </c>
      <c r="B1727">
        <v>275</v>
      </c>
      <c r="C1727" t="s">
        <v>3832</v>
      </c>
      <c r="D1727" t="s">
        <v>102</v>
      </c>
      <c r="E1727" t="s">
        <v>157</v>
      </c>
      <c r="F1727" t="s">
        <v>3833</v>
      </c>
      <c r="G1727" t="str">
        <f>"00077087"</f>
        <v>00077087</v>
      </c>
      <c r="H1727">
        <v>39.2</v>
      </c>
      <c r="I1727">
        <v>0</v>
      </c>
      <c r="L1727">
        <v>4</v>
      </c>
      <c r="M1727">
        <v>4</v>
      </c>
      <c r="N1727">
        <v>4</v>
      </c>
      <c r="O1727">
        <v>0</v>
      </c>
      <c r="P1727">
        <v>47.2</v>
      </c>
      <c r="Q1727">
        <v>0</v>
      </c>
      <c r="R1727">
        <v>0</v>
      </c>
      <c r="S1727">
        <v>0</v>
      </c>
      <c r="T1727">
        <v>0</v>
      </c>
      <c r="U1727" s="1">
        <v>0</v>
      </c>
      <c r="V1727">
        <v>47.2</v>
      </c>
    </row>
    <row r="1728" spans="1:22" ht="15">
      <c r="A1728" s="4">
        <v>1721</v>
      </c>
      <c r="B1728">
        <v>1132</v>
      </c>
      <c r="C1728" t="s">
        <v>3834</v>
      </c>
      <c r="D1728" t="s">
        <v>26</v>
      </c>
      <c r="E1728" t="s">
        <v>11</v>
      </c>
      <c r="F1728" t="s">
        <v>3835</v>
      </c>
      <c r="G1728" t="str">
        <f>"00292478"</f>
        <v>00292478</v>
      </c>
      <c r="H1728">
        <v>43.2</v>
      </c>
      <c r="I1728">
        <v>0</v>
      </c>
      <c r="M1728">
        <v>4</v>
      </c>
      <c r="N1728">
        <v>0</v>
      </c>
      <c r="O1728">
        <v>0</v>
      </c>
      <c r="P1728">
        <v>47.2</v>
      </c>
      <c r="Q1728">
        <v>0</v>
      </c>
      <c r="R1728">
        <v>0</v>
      </c>
      <c r="S1728">
        <v>0</v>
      </c>
      <c r="T1728">
        <v>0</v>
      </c>
      <c r="U1728" s="1">
        <v>0</v>
      </c>
      <c r="V1728">
        <v>47.2</v>
      </c>
    </row>
    <row r="1729" spans="1:22" ht="15">
      <c r="A1729" s="4">
        <v>1722</v>
      </c>
      <c r="B1729">
        <v>256</v>
      </c>
      <c r="C1729" t="s">
        <v>3836</v>
      </c>
      <c r="D1729" t="s">
        <v>89</v>
      </c>
      <c r="E1729" t="s">
        <v>90</v>
      </c>
      <c r="F1729" t="s">
        <v>3837</v>
      </c>
      <c r="G1729" t="str">
        <f>"00317261"</f>
        <v>00317261</v>
      </c>
      <c r="H1729">
        <v>43.2</v>
      </c>
      <c r="I1729">
        <v>0</v>
      </c>
      <c r="M1729">
        <v>4</v>
      </c>
      <c r="N1729">
        <v>0</v>
      </c>
      <c r="O1729">
        <v>0</v>
      </c>
      <c r="P1729">
        <v>47.2</v>
      </c>
      <c r="Q1729">
        <v>0</v>
      </c>
      <c r="R1729">
        <v>0</v>
      </c>
      <c r="S1729">
        <v>0</v>
      </c>
      <c r="T1729">
        <v>0</v>
      </c>
      <c r="U1729" s="1">
        <v>0</v>
      </c>
      <c r="V1729">
        <v>47.2</v>
      </c>
    </row>
    <row r="1730" spans="1:22" ht="15">
      <c r="A1730" s="4">
        <v>1723</v>
      </c>
      <c r="B1730">
        <v>185</v>
      </c>
      <c r="C1730" t="s">
        <v>3838</v>
      </c>
      <c r="D1730" t="s">
        <v>3839</v>
      </c>
      <c r="E1730" t="s">
        <v>197</v>
      </c>
      <c r="F1730" t="s">
        <v>3840</v>
      </c>
      <c r="G1730" t="str">
        <f>"00487038"</f>
        <v>00487038</v>
      </c>
      <c r="H1730">
        <v>34.2</v>
      </c>
      <c r="I1730">
        <v>10</v>
      </c>
      <c r="M1730">
        <v>0</v>
      </c>
      <c r="N1730">
        <v>0</v>
      </c>
      <c r="O1730">
        <v>0</v>
      </c>
      <c r="P1730">
        <v>44.2</v>
      </c>
      <c r="Q1730">
        <v>0</v>
      </c>
      <c r="R1730">
        <v>0</v>
      </c>
      <c r="S1730">
        <v>3</v>
      </c>
      <c r="T1730">
        <v>0</v>
      </c>
      <c r="U1730" s="1">
        <v>0</v>
      </c>
      <c r="V1730">
        <v>47.2</v>
      </c>
    </row>
    <row r="1731" spans="1:22" ht="15">
      <c r="A1731" s="4">
        <v>1724</v>
      </c>
      <c r="B1731">
        <v>1459</v>
      </c>
      <c r="C1731" t="s">
        <v>3841</v>
      </c>
      <c r="D1731" t="s">
        <v>3842</v>
      </c>
      <c r="E1731" t="s">
        <v>11</v>
      </c>
      <c r="F1731" t="s">
        <v>3843</v>
      </c>
      <c r="G1731" t="str">
        <f>"00523594"</f>
        <v>00523594</v>
      </c>
      <c r="H1731">
        <v>43.2</v>
      </c>
      <c r="I1731">
        <v>0</v>
      </c>
      <c r="M1731">
        <v>4</v>
      </c>
      <c r="N1731">
        <v>0</v>
      </c>
      <c r="O1731">
        <v>0</v>
      </c>
      <c r="P1731">
        <v>47.2</v>
      </c>
      <c r="Q1731">
        <v>0</v>
      </c>
      <c r="R1731">
        <v>0</v>
      </c>
      <c r="S1731">
        <v>0</v>
      </c>
      <c r="T1731">
        <v>0</v>
      </c>
      <c r="U1731" s="1">
        <v>0</v>
      </c>
      <c r="V1731">
        <v>47.2</v>
      </c>
    </row>
    <row r="1732" spans="1:22" ht="15">
      <c r="A1732" s="4">
        <v>1725</v>
      </c>
      <c r="B1732">
        <v>1106</v>
      </c>
      <c r="C1732" t="s">
        <v>3844</v>
      </c>
      <c r="D1732" t="s">
        <v>127</v>
      </c>
      <c r="E1732" t="s">
        <v>11</v>
      </c>
      <c r="F1732" t="s">
        <v>3845</v>
      </c>
      <c r="G1732" t="str">
        <f>"00515214"</f>
        <v>00515214</v>
      </c>
      <c r="H1732">
        <v>43.2</v>
      </c>
      <c r="I1732">
        <v>0</v>
      </c>
      <c r="M1732">
        <v>0</v>
      </c>
      <c r="N1732">
        <v>0</v>
      </c>
      <c r="O1732">
        <v>0</v>
      </c>
      <c r="P1732">
        <v>43.2</v>
      </c>
      <c r="Q1732">
        <v>1</v>
      </c>
      <c r="R1732">
        <v>1</v>
      </c>
      <c r="S1732">
        <v>3</v>
      </c>
      <c r="T1732">
        <v>0</v>
      </c>
      <c r="U1732" s="1">
        <v>0</v>
      </c>
      <c r="V1732">
        <v>47.2</v>
      </c>
    </row>
    <row r="1733" spans="1:22" ht="15">
      <c r="A1733" s="4">
        <v>1726</v>
      </c>
      <c r="B1733">
        <v>2866</v>
      </c>
      <c r="C1733" t="s">
        <v>3846</v>
      </c>
      <c r="D1733" t="s">
        <v>643</v>
      </c>
      <c r="E1733" t="s">
        <v>83</v>
      </c>
      <c r="F1733" t="s">
        <v>3847</v>
      </c>
      <c r="G1733" t="str">
        <f>"00530779"</f>
        <v>00530779</v>
      </c>
      <c r="H1733">
        <v>43.2</v>
      </c>
      <c r="I1733">
        <v>0</v>
      </c>
      <c r="L1733">
        <v>4</v>
      </c>
      <c r="M1733">
        <v>0</v>
      </c>
      <c r="N1733">
        <v>4</v>
      </c>
      <c r="O1733">
        <v>0</v>
      </c>
      <c r="P1733">
        <v>47.2</v>
      </c>
      <c r="Q1733">
        <v>0</v>
      </c>
      <c r="R1733">
        <v>0</v>
      </c>
      <c r="S1733">
        <v>0</v>
      </c>
      <c r="T1733">
        <v>0</v>
      </c>
      <c r="U1733" s="1">
        <v>0</v>
      </c>
      <c r="V1733">
        <v>47.2</v>
      </c>
    </row>
    <row r="1734" spans="1:22" ht="15">
      <c r="A1734" s="4">
        <v>1727</v>
      </c>
      <c r="B1734">
        <v>3343</v>
      </c>
      <c r="C1734" t="s">
        <v>3848</v>
      </c>
      <c r="D1734" t="s">
        <v>805</v>
      </c>
      <c r="E1734" t="s">
        <v>73</v>
      </c>
      <c r="F1734" t="s">
        <v>3849</v>
      </c>
      <c r="G1734" t="str">
        <f>"00497203"</f>
        <v>00497203</v>
      </c>
      <c r="H1734">
        <v>43.2</v>
      </c>
      <c r="I1734">
        <v>0</v>
      </c>
      <c r="L1734">
        <v>4</v>
      </c>
      <c r="M1734">
        <v>0</v>
      </c>
      <c r="N1734">
        <v>4</v>
      </c>
      <c r="O1734">
        <v>0</v>
      </c>
      <c r="P1734">
        <v>47.2</v>
      </c>
      <c r="Q1734">
        <v>0</v>
      </c>
      <c r="R1734">
        <v>0</v>
      </c>
      <c r="S1734">
        <v>0</v>
      </c>
      <c r="T1734">
        <v>0</v>
      </c>
      <c r="U1734" s="1">
        <v>0</v>
      </c>
      <c r="V1734">
        <v>47.2</v>
      </c>
    </row>
    <row r="1735" spans="1:22" ht="15">
      <c r="A1735" s="4">
        <v>1728</v>
      </c>
      <c r="B1735">
        <v>1957</v>
      </c>
      <c r="C1735" t="s">
        <v>1758</v>
      </c>
      <c r="D1735" t="s">
        <v>643</v>
      </c>
      <c r="E1735" t="s">
        <v>51</v>
      </c>
      <c r="F1735" t="s">
        <v>3850</v>
      </c>
      <c r="G1735" t="str">
        <f>"201511022467"</f>
        <v>201511022467</v>
      </c>
      <c r="H1735">
        <v>37.08</v>
      </c>
      <c r="I1735">
        <v>0</v>
      </c>
      <c r="M1735">
        <v>4</v>
      </c>
      <c r="N1735">
        <v>0</v>
      </c>
      <c r="O1735">
        <v>0</v>
      </c>
      <c r="P1735">
        <v>41.08</v>
      </c>
      <c r="Q1735">
        <v>0</v>
      </c>
      <c r="R1735">
        <v>0</v>
      </c>
      <c r="S1735">
        <v>6</v>
      </c>
      <c r="T1735">
        <v>0</v>
      </c>
      <c r="U1735" s="1">
        <v>0</v>
      </c>
      <c r="V1735">
        <v>47.08</v>
      </c>
    </row>
    <row r="1736" spans="1:22" ht="15">
      <c r="A1736" s="4">
        <v>1729</v>
      </c>
      <c r="B1736">
        <v>335</v>
      </c>
      <c r="C1736" t="s">
        <v>3851</v>
      </c>
      <c r="D1736" t="s">
        <v>124</v>
      </c>
      <c r="E1736" t="s">
        <v>90</v>
      </c>
      <c r="F1736" t="s">
        <v>3852</v>
      </c>
      <c r="G1736" t="str">
        <f>"00254421"</f>
        <v>00254421</v>
      </c>
      <c r="H1736">
        <v>36</v>
      </c>
      <c r="I1736">
        <v>0</v>
      </c>
      <c r="L1736">
        <v>4</v>
      </c>
      <c r="M1736">
        <v>4</v>
      </c>
      <c r="N1736">
        <v>4</v>
      </c>
      <c r="O1736">
        <v>0</v>
      </c>
      <c r="P1736">
        <v>44</v>
      </c>
      <c r="Q1736">
        <v>0</v>
      </c>
      <c r="R1736">
        <v>0</v>
      </c>
      <c r="S1736">
        <v>3</v>
      </c>
      <c r="T1736">
        <v>0</v>
      </c>
      <c r="U1736" s="1">
        <v>0</v>
      </c>
      <c r="V1736">
        <v>47</v>
      </c>
    </row>
    <row r="1737" spans="1:22" ht="15">
      <c r="A1737" s="4">
        <v>1730</v>
      </c>
      <c r="B1737">
        <v>3223</v>
      </c>
      <c r="C1737" t="s">
        <v>3853</v>
      </c>
      <c r="D1737" t="s">
        <v>14</v>
      </c>
      <c r="E1737" t="s">
        <v>11</v>
      </c>
      <c r="F1737" t="s">
        <v>3854</v>
      </c>
      <c r="G1737" t="str">
        <f>"00533478"</f>
        <v>00533478</v>
      </c>
      <c r="H1737">
        <v>36</v>
      </c>
      <c r="I1737">
        <v>0</v>
      </c>
      <c r="J1737">
        <v>8</v>
      </c>
      <c r="M1737">
        <v>0</v>
      </c>
      <c r="N1737">
        <v>8</v>
      </c>
      <c r="O1737">
        <v>0</v>
      </c>
      <c r="P1737">
        <v>44</v>
      </c>
      <c r="Q1737">
        <v>0</v>
      </c>
      <c r="R1737">
        <v>0</v>
      </c>
      <c r="S1737">
        <v>3</v>
      </c>
      <c r="T1737">
        <v>0</v>
      </c>
      <c r="U1737" s="1">
        <v>0</v>
      </c>
      <c r="V1737">
        <v>47</v>
      </c>
    </row>
    <row r="1738" spans="1:22" ht="15">
      <c r="A1738" s="4">
        <v>1731</v>
      </c>
      <c r="B1738">
        <v>2033</v>
      </c>
      <c r="C1738" t="s">
        <v>3855</v>
      </c>
      <c r="D1738" t="s">
        <v>40</v>
      </c>
      <c r="E1738" t="s">
        <v>23</v>
      </c>
      <c r="F1738" t="s">
        <v>3856</v>
      </c>
      <c r="G1738" t="str">
        <f>"00202638"</f>
        <v>00202638</v>
      </c>
      <c r="H1738">
        <v>40</v>
      </c>
      <c r="I1738">
        <v>0</v>
      </c>
      <c r="M1738">
        <v>4</v>
      </c>
      <c r="N1738">
        <v>0</v>
      </c>
      <c r="O1738">
        <v>0</v>
      </c>
      <c r="P1738">
        <v>44</v>
      </c>
      <c r="Q1738">
        <v>0</v>
      </c>
      <c r="R1738">
        <v>0</v>
      </c>
      <c r="S1738">
        <v>3</v>
      </c>
      <c r="T1738">
        <v>0</v>
      </c>
      <c r="U1738" s="1">
        <v>0</v>
      </c>
      <c r="V1738">
        <v>47</v>
      </c>
    </row>
    <row r="1739" spans="1:22" ht="15">
      <c r="A1739" s="4">
        <v>1732</v>
      </c>
      <c r="B1739">
        <v>90</v>
      </c>
      <c r="C1739" t="s">
        <v>3857</v>
      </c>
      <c r="D1739" t="s">
        <v>232</v>
      </c>
      <c r="E1739" t="s">
        <v>19</v>
      </c>
      <c r="F1739" t="s">
        <v>3858</v>
      </c>
      <c r="G1739" t="str">
        <f>"00507006"</f>
        <v>00507006</v>
      </c>
      <c r="H1739">
        <v>36</v>
      </c>
      <c r="I1739">
        <v>0</v>
      </c>
      <c r="M1739">
        <v>4</v>
      </c>
      <c r="N1739">
        <v>0</v>
      </c>
      <c r="O1739">
        <v>0</v>
      </c>
      <c r="P1739">
        <v>40</v>
      </c>
      <c r="Q1739">
        <v>7</v>
      </c>
      <c r="R1739">
        <v>7</v>
      </c>
      <c r="S1739">
        <v>0</v>
      </c>
      <c r="T1739">
        <v>0</v>
      </c>
      <c r="U1739" s="1">
        <v>0</v>
      </c>
      <c r="V1739">
        <v>47</v>
      </c>
    </row>
    <row r="1740" spans="1:22" ht="15">
      <c r="A1740" s="4">
        <v>1733</v>
      </c>
      <c r="B1740">
        <v>2128</v>
      </c>
      <c r="C1740" t="s">
        <v>3859</v>
      </c>
      <c r="D1740" t="s">
        <v>14</v>
      </c>
      <c r="E1740" t="s">
        <v>317</v>
      </c>
      <c r="F1740" t="s">
        <v>3860</v>
      </c>
      <c r="G1740" t="str">
        <f>"00442127"</f>
        <v>00442127</v>
      </c>
      <c r="H1740">
        <v>34</v>
      </c>
      <c r="I1740">
        <v>0</v>
      </c>
      <c r="M1740">
        <v>0</v>
      </c>
      <c r="N1740">
        <v>0</v>
      </c>
      <c r="O1740">
        <v>2</v>
      </c>
      <c r="P1740">
        <v>36</v>
      </c>
      <c r="Q1740">
        <v>8</v>
      </c>
      <c r="R1740">
        <v>8</v>
      </c>
      <c r="S1740">
        <v>3</v>
      </c>
      <c r="T1740">
        <v>0</v>
      </c>
      <c r="U1740" s="1">
        <v>0</v>
      </c>
      <c r="V1740">
        <v>47</v>
      </c>
    </row>
    <row r="1741" spans="1:22" ht="15">
      <c r="A1741" s="4">
        <v>1734</v>
      </c>
      <c r="B1741">
        <v>1424</v>
      </c>
      <c r="C1741" t="s">
        <v>3861</v>
      </c>
      <c r="D1741" t="s">
        <v>14</v>
      </c>
      <c r="E1741" t="s">
        <v>90</v>
      </c>
      <c r="F1741" t="s">
        <v>3862</v>
      </c>
      <c r="G1741" t="str">
        <f>"00442093"</f>
        <v>00442093</v>
      </c>
      <c r="H1741">
        <v>36</v>
      </c>
      <c r="I1741">
        <v>0</v>
      </c>
      <c r="L1741">
        <v>4</v>
      </c>
      <c r="M1741">
        <v>4</v>
      </c>
      <c r="N1741">
        <v>4</v>
      </c>
      <c r="O1741">
        <v>0</v>
      </c>
      <c r="P1741">
        <v>44</v>
      </c>
      <c r="Q1741">
        <v>3</v>
      </c>
      <c r="R1741">
        <v>3</v>
      </c>
      <c r="S1741">
        <v>0</v>
      </c>
      <c r="T1741">
        <v>0</v>
      </c>
      <c r="U1741" s="1">
        <v>0</v>
      </c>
      <c r="V1741">
        <v>47</v>
      </c>
    </row>
    <row r="1742" spans="1:22" ht="15">
      <c r="A1742" s="4">
        <v>1735</v>
      </c>
      <c r="B1742">
        <v>1174</v>
      </c>
      <c r="C1742" t="s">
        <v>3863</v>
      </c>
      <c r="D1742" t="s">
        <v>3864</v>
      </c>
      <c r="E1742" t="s">
        <v>51</v>
      </c>
      <c r="F1742" t="s">
        <v>3865</v>
      </c>
      <c r="G1742" t="str">
        <f>"00498272"</f>
        <v>00498272</v>
      </c>
      <c r="H1742">
        <v>36</v>
      </c>
      <c r="I1742">
        <v>0</v>
      </c>
      <c r="M1742">
        <v>4</v>
      </c>
      <c r="N1742">
        <v>0</v>
      </c>
      <c r="O1742">
        <v>0</v>
      </c>
      <c r="P1742">
        <v>40</v>
      </c>
      <c r="Q1742">
        <v>4</v>
      </c>
      <c r="R1742">
        <v>4</v>
      </c>
      <c r="S1742">
        <v>3</v>
      </c>
      <c r="T1742">
        <v>0</v>
      </c>
      <c r="U1742" s="1">
        <v>0</v>
      </c>
      <c r="V1742">
        <v>47</v>
      </c>
    </row>
    <row r="1743" spans="1:22" ht="15">
      <c r="A1743" s="4">
        <v>1736</v>
      </c>
      <c r="B1743">
        <v>1317</v>
      </c>
      <c r="C1743" t="s">
        <v>3866</v>
      </c>
      <c r="D1743" t="s">
        <v>2021</v>
      </c>
      <c r="E1743" t="s">
        <v>11</v>
      </c>
      <c r="F1743" t="s">
        <v>3867</v>
      </c>
      <c r="G1743" t="str">
        <f>"00526942"</f>
        <v>00526942</v>
      </c>
      <c r="H1743">
        <v>36</v>
      </c>
      <c r="I1743">
        <v>0</v>
      </c>
      <c r="L1743">
        <v>4</v>
      </c>
      <c r="M1743">
        <v>4</v>
      </c>
      <c r="N1743">
        <v>4</v>
      </c>
      <c r="O1743">
        <v>0</v>
      </c>
      <c r="P1743">
        <v>44</v>
      </c>
      <c r="Q1743">
        <v>0</v>
      </c>
      <c r="R1743">
        <v>0</v>
      </c>
      <c r="S1743">
        <v>3</v>
      </c>
      <c r="T1743">
        <v>0</v>
      </c>
      <c r="U1743" s="1">
        <v>0</v>
      </c>
      <c r="V1743">
        <v>47</v>
      </c>
    </row>
    <row r="1744" spans="1:22" ht="15">
      <c r="A1744" s="4">
        <v>1737</v>
      </c>
      <c r="B1744">
        <v>3393</v>
      </c>
      <c r="C1744" t="s">
        <v>3868</v>
      </c>
      <c r="D1744" t="s">
        <v>179</v>
      </c>
      <c r="E1744" t="s">
        <v>59</v>
      </c>
      <c r="F1744" t="s">
        <v>3869</v>
      </c>
      <c r="G1744" t="str">
        <f>"00533241"</f>
        <v>00533241</v>
      </c>
      <c r="H1744">
        <v>33</v>
      </c>
      <c r="I1744">
        <v>10</v>
      </c>
      <c r="M1744">
        <v>4</v>
      </c>
      <c r="N1744">
        <v>0</v>
      </c>
      <c r="O1744">
        <v>0</v>
      </c>
      <c r="P1744">
        <v>47</v>
      </c>
      <c r="Q1744">
        <v>0</v>
      </c>
      <c r="R1744">
        <v>0</v>
      </c>
      <c r="S1744">
        <v>0</v>
      </c>
      <c r="T1744">
        <v>0</v>
      </c>
      <c r="U1744" s="1">
        <v>0</v>
      </c>
      <c r="V1744">
        <v>47</v>
      </c>
    </row>
    <row r="1745" spans="1:22" ht="15">
      <c r="A1745" s="4">
        <v>1738</v>
      </c>
      <c r="B1745">
        <v>3297</v>
      </c>
      <c r="C1745" t="s">
        <v>3870</v>
      </c>
      <c r="D1745" t="s">
        <v>179</v>
      </c>
      <c r="E1745" t="s">
        <v>90</v>
      </c>
      <c r="F1745" t="s">
        <v>3871</v>
      </c>
      <c r="G1745" t="str">
        <f>"00441598"</f>
        <v>00441598</v>
      </c>
      <c r="H1745">
        <v>0</v>
      </c>
      <c r="I1745">
        <v>0</v>
      </c>
      <c r="M1745">
        <v>4</v>
      </c>
      <c r="N1745">
        <v>0</v>
      </c>
      <c r="O1745">
        <v>0</v>
      </c>
      <c r="P1745">
        <v>4</v>
      </c>
      <c r="Q1745">
        <v>40</v>
      </c>
      <c r="R1745">
        <v>40</v>
      </c>
      <c r="S1745">
        <v>3</v>
      </c>
      <c r="T1745">
        <v>0</v>
      </c>
      <c r="U1745" s="1">
        <v>0</v>
      </c>
      <c r="V1745">
        <v>47</v>
      </c>
    </row>
    <row r="1746" spans="1:22" ht="15">
      <c r="A1746" s="4">
        <v>1739</v>
      </c>
      <c r="B1746">
        <v>2742</v>
      </c>
      <c r="C1746" t="s">
        <v>3872</v>
      </c>
      <c r="D1746" t="s">
        <v>193</v>
      </c>
      <c r="E1746" t="s">
        <v>11</v>
      </c>
      <c r="F1746" t="s">
        <v>3873</v>
      </c>
      <c r="G1746" t="str">
        <f>"00533135"</f>
        <v>00533135</v>
      </c>
      <c r="H1746">
        <v>36</v>
      </c>
      <c r="I1746">
        <v>0</v>
      </c>
      <c r="M1746">
        <v>4</v>
      </c>
      <c r="N1746">
        <v>0</v>
      </c>
      <c r="O1746">
        <v>0</v>
      </c>
      <c r="P1746">
        <v>40</v>
      </c>
      <c r="Q1746">
        <v>7</v>
      </c>
      <c r="R1746">
        <v>7</v>
      </c>
      <c r="S1746">
        <v>0</v>
      </c>
      <c r="T1746">
        <v>0</v>
      </c>
      <c r="U1746" s="1">
        <v>0</v>
      </c>
      <c r="V1746">
        <v>47</v>
      </c>
    </row>
    <row r="1747" spans="1:22" ht="15">
      <c r="A1747" s="4">
        <v>1740</v>
      </c>
      <c r="B1747">
        <v>3185</v>
      </c>
      <c r="C1747" t="s">
        <v>3874</v>
      </c>
      <c r="D1747" t="s">
        <v>568</v>
      </c>
      <c r="E1747" t="s">
        <v>30</v>
      </c>
      <c r="F1747" t="s">
        <v>3875</v>
      </c>
      <c r="G1747" t="str">
        <f>"00532240"</f>
        <v>00532240</v>
      </c>
      <c r="H1747">
        <v>24</v>
      </c>
      <c r="I1747">
        <v>0</v>
      </c>
      <c r="M1747">
        <v>4</v>
      </c>
      <c r="N1747">
        <v>0</v>
      </c>
      <c r="O1747">
        <v>0</v>
      </c>
      <c r="P1747">
        <v>28</v>
      </c>
      <c r="Q1747">
        <v>19</v>
      </c>
      <c r="R1747">
        <v>19</v>
      </c>
      <c r="S1747">
        <v>0</v>
      </c>
      <c r="T1747">
        <v>0</v>
      </c>
      <c r="U1747" s="1">
        <v>0</v>
      </c>
      <c r="V1747">
        <v>47</v>
      </c>
    </row>
    <row r="1748" spans="1:22" ht="15">
      <c r="A1748" s="4">
        <v>1741</v>
      </c>
      <c r="B1748">
        <v>715</v>
      </c>
      <c r="C1748" t="s">
        <v>3876</v>
      </c>
      <c r="D1748" t="s">
        <v>1407</v>
      </c>
      <c r="E1748" t="s">
        <v>15</v>
      </c>
      <c r="F1748" t="s">
        <v>3877</v>
      </c>
      <c r="G1748" t="str">
        <f>"00530695"</f>
        <v>00530695</v>
      </c>
      <c r="H1748">
        <v>36.88</v>
      </c>
      <c r="I1748">
        <v>0</v>
      </c>
      <c r="L1748">
        <v>4</v>
      </c>
      <c r="M1748">
        <v>0</v>
      </c>
      <c r="N1748">
        <v>4</v>
      </c>
      <c r="O1748">
        <v>0</v>
      </c>
      <c r="P1748">
        <v>40.88</v>
      </c>
      <c r="Q1748">
        <v>0</v>
      </c>
      <c r="R1748">
        <v>0</v>
      </c>
      <c r="S1748">
        <v>6</v>
      </c>
      <c r="T1748">
        <v>0</v>
      </c>
      <c r="U1748" s="1">
        <v>0</v>
      </c>
      <c r="V1748">
        <v>46.88</v>
      </c>
    </row>
    <row r="1749" spans="1:22" ht="15">
      <c r="A1749" s="4">
        <v>1742</v>
      </c>
      <c r="B1749">
        <v>3160</v>
      </c>
      <c r="C1749" t="s">
        <v>3878</v>
      </c>
      <c r="D1749" t="s">
        <v>643</v>
      </c>
      <c r="E1749" t="s">
        <v>15</v>
      </c>
      <c r="F1749" t="s">
        <v>3879</v>
      </c>
      <c r="G1749" t="str">
        <f>"00510049"</f>
        <v>00510049</v>
      </c>
      <c r="H1749">
        <v>36.84</v>
      </c>
      <c r="I1749">
        <v>0</v>
      </c>
      <c r="M1749">
        <v>4</v>
      </c>
      <c r="N1749">
        <v>0</v>
      </c>
      <c r="O1749">
        <v>0</v>
      </c>
      <c r="P1749">
        <v>40.84</v>
      </c>
      <c r="Q1749">
        <v>0</v>
      </c>
      <c r="R1749">
        <v>0</v>
      </c>
      <c r="S1749">
        <v>6</v>
      </c>
      <c r="T1749">
        <v>0</v>
      </c>
      <c r="U1749" s="1">
        <v>0</v>
      </c>
      <c r="V1749">
        <v>46.84</v>
      </c>
    </row>
    <row r="1750" spans="1:22" ht="15">
      <c r="A1750" s="4">
        <v>1743</v>
      </c>
      <c r="B1750">
        <v>1421</v>
      </c>
      <c r="C1750" t="s">
        <v>3019</v>
      </c>
      <c r="D1750" t="s">
        <v>130</v>
      </c>
      <c r="E1750" t="s">
        <v>1497</v>
      </c>
      <c r="F1750" t="s">
        <v>3880</v>
      </c>
      <c r="G1750" t="str">
        <f>"201406012890"</f>
        <v>201406012890</v>
      </c>
      <c r="H1750">
        <v>28.8</v>
      </c>
      <c r="I1750">
        <v>10</v>
      </c>
      <c r="L1750">
        <v>4</v>
      </c>
      <c r="M1750">
        <v>4</v>
      </c>
      <c r="N1750">
        <v>4</v>
      </c>
      <c r="O1750">
        <v>0</v>
      </c>
      <c r="P1750">
        <v>46.8</v>
      </c>
      <c r="Q1750">
        <v>0</v>
      </c>
      <c r="R1750">
        <v>0</v>
      </c>
      <c r="S1750">
        <v>0</v>
      </c>
      <c r="T1750">
        <v>0</v>
      </c>
      <c r="U1750" s="1">
        <v>0</v>
      </c>
      <c r="V1750">
        <v>46.8</v>
      </c>
    </row>
    <row r="1751" spans="1:22" ht="15">
      <c r="A1751" s="4">
        <v>1744</v>
      </c>
      <c r="B1751">
        <v>1031</v>
      </c>
      <c r="C1751" t="s">
        <v>3881</v>
      </c>
      <c r="D1751" t="s">
        <v>580</v>
      </c>
      <c r="E1751" t="s">
        <v>51</v>
      </c>
      <c r="F1751" t="s">
        <v>3882</v>
      </c>
      <c r="G1751" t="str">
        <f>"00520525"</f>
        <v>00520525</v>
      </c>
      <c r="H1751">
        <v>28.8</v>
      </c>
      <c r="I1751">
        <v>0</v>
      </c>
      <c r="K1751">
        <v>6</v>
      </c>
      <c r="M1751">
        <v>4</v>
      </c>
      <c r="N1751">
        <v>6</v>
      </c>
      <c r="O1751">
        <v>0</v>
      </c>
      <c r="P1751">
        <v>38.8</v>
      </c>
      <c r="Q1751">
        <v>8</v>
      </c>
      <c r="R1751">
        <v>8</v>
      </c>
      <c r="S1751">
        <v>0</v>
      </c>
      <c r="T1751">
        <v>0</v>
      </c>
      <c r="U1751" s="1">
        <v>0</v>
      </c>
      <c r="V1751">
        <v>46.8</v>
      </c>
    </row>
    <row r="1752" spans="1:22" ht="15">
      <c r="A1752" s="4">
        <v>1745</v>
      </c>
      <c r="B1752">
        <v>1437</v>
      </c>
      <c r="C1752" t="s">
        <v>3883</v>
      </c>
      <c r="D1752" t="s">
        <v>273</v>
      </c>
      <c r="E1752" t="s">
        <v>19</v>
      </c>
      <c r="F1752" t="s">
        <v>3884</v>
      </c>
      <c r="G1752" t="str">
        <f>"00245790"</f>
        <v>00245790</v>
      </c>
      <c r="H1752">
        <v>28.8</v>
      </c>
      <c r="I1752">
        <v>0</v>
      </c>
      <c r="J1752">
        <v>8</v>
      </c>
      <c r="K1752">
        <v>6</v>
      </c>
      <c r="M1752">
        <v>4</v>
      </c>
      <c r="N1752">
        <v>14</v>
      </c>
      <c r="O1752">
        <v>0</v>
      </c>
      <c r="P1752">
        <v>46.8</v>
      </c>
      <c r="Q1752">
        <v>0</v>
      </c>
      <c r="R1752">
        <v>0</v>
      </c>
      <c r="S1752">
        <v>0</v>
      </c>
      <c r="T1752">
        <v>0</v>
      </c>
      <c r="U1752" s="1">
        <v>0</v>
      </c>
      <c r="V1752">
        <v>46.8</v>
      </c>
    </row>
    <row r="1753" spans="1:22" ht="15">
      <c r="A1753" s="4">
        <v>1746</v>
      </c>
      <c r="B1753">
        <v>2988</v>
      </c>
      <c r="C1753" t="s">
        <v>3885</v>
      </c>
      <c r="D1753" t="s">
        <v>89</v>
      </c>
      <c r="E1753" t="s">
        <v>23</v>
      </c>
      <c r="F1753" t="s">
        <v>3886</v>
      </c>
      <c r="G1753" t="str">
        <f>"00483491"</f>
        <v>00483491</v>
      </c>
      <c r="H1753">
        <v>28.8</v>
      </c>
      <c r="I1753">
        <v>0</v>
      </c>
      <c r="M1753">
        <v>4</v>
      </c>
      <c r="N1753">
        <v>0</v>
      </c>
      <c r="O1753">
        <v>0</v>
      </c>
      <c r="P1753">
        <v>32.8</v>
      </c>
      <c r="Q1753">
        <v>14</v>
      </c>
      <c r="R1753">
        <v>14</v>
      </c>
      <c r="S1753">
        <v>0</v>
      </c>
      <c r="T1753">
        <v>0</v>
      </c>
      <c r="U1753" s="1">
        <v>0</v>
      </c>
      <c r="V1753">
        <v>46.8</v>
      </c>
    </row>
    <row r="1754" spans="1:22" ht="15">
      <c r="A1754" s="4">
        <v>1747</v>
      </c>
      <c r="B1754">
        <v>2310</v>
      </c>
      <c r="C1754" t="s">
        <v>3887</v>
      </c>
      <c r="D1754" t="s">
        <v>124</v>
      </c>
      <c r="E1754" t="s">
        <v>23</v>
      </c>
      <c r="F1754" t="s">
        <v>3888</v>
      </c>
      <c r="G1754" t="str">
        <f>"00162256"</f>
        <v>00162256</v>
      </c>
      <c r="H1754">
        <v>28.8</v>
      </c>
      <c r="I1754">
        <v>10</v>
      </c>
      <c r="M1754">
        <v>0</v>
      </c>
      <c r="N1754">
        <v>0</v>
      </c>
      <c r="O1754">
        <v>0</v>
      </c>
      <c r="P1754">
        <v>38.8</v>
      </c>
      <c r="Q1754">
        <v>5</v>
      </c>
      <c r="R1754">
        <v>5</v>
      </c>
      <c r="S1754">
        <v>3</v>
      </c>
      <c r="T1754">
        <v>0</v>
      </c>
      <c r="U1754" s="1">
        <v>0</v>
      </c>
      <c r="V1754">
        <v>46.8</v>
      </c>
    </row>
    <row r="1755" spans="1:22" ht="15">
      <c r="A1755" s="4">
        <v>1748</v>
      </c>
      <c r="B1755">
        <v>1764</v>
      </c>
      <c r="C1755" t="s">
        <v>3889</v>
      </c>
      <c r="D1755" t="s">
        <v>170</v>
      </c>
      <c r="E1755" t="s">
        <v>19</v>
      </c>
      <c r="F1755" t="s">
        <v>3890</v>
      </c>
      <c r="G1755" t="str">
        <f>"00516692"</f>
        <v>00516692</v>
      </c>
      <c r="H1755">
        <v>28.8</v>
      </c>
      <c r="I1755">
        <v>0</v>
      </c>
      <c r="M1755">
        <v>0</v>
      </c>
      <c r="N1755">
        <v>0</v>
      </c>
      <c r="O1755">
        <v>0</v>
      </c>
      <c r="P1755">
        <v>28.8</v>
      </c>
      <c r="Q1755">
        <v>9</v>
      </c>
      <c r="R1755">
        <v>9</v>
      </c>
      <c r="S1755">
        <v>9</v>
      </c>
      <c r="T1755">
        <v>0</v>
      </c>
      <c r="U1755" s="1">
        <v>0</v>
      </c>
      <c r="V1755">
        <v>46.8</v>
      </c>
    </row>
    <row r="1756" spans="1:22" ht="15">
      <c r="A1756" s="4">
        <v>1749</v>
      </c>
      <c r="B1756">
        <v>1146</v>
      </c>
      <c r="C1756" t="s">
        <v>3891</v>
      </c>
      <c r="D1756" t="s">
        <v>68</v>
      </c>
      <c r="E1756" t="s">
        <v>30</v>
      </c>
      <c r="F1756" t="s">
        <v>3892</v>
      </c>
      <c r="G1756" t="str">
        <f>"201402011385"</f>
        <v>201402011385</v>
      </c>
      <c r="H1756">
        <v>28.8</v>
      </c>
      <c r="I1756">
        <v>0</v>
      </c>
      <c r="J1756">
        <v>8</v>
      </c>
      <c r="M1756">
        <v>4</v>
      </c>
      <c r="N1756">
        <v>8</v>
      </c>
      <c r="O1756">
        <v>0</v>
      </c>
      <c r="P1756">
        <v>40.8</v>
      </c>
      <c r="Q1756">
        <v>0</v>
      </c>
      <c r="R1756">
        <v>0</v>
      </c>
      <c r="S1756">
        <v>6</v>
      </c>
      <c r="T1756">
        <v>0</v>
      </c>
      <c r="U1756" s="1">
        <v>0</v>
      </c>
      <c r="V1756">
        <v>46.8</v>
      </c>
    </row>
    <row r="1757" spans="1:22" ht="15">
      <c r="A1757" s="4">
        <v>1750</v>
      </c>
      <c r="B1757">
        <v>1531</v>
      </c>
      <c r="C1757" t="s">
        <v>3893</v>
      </c>
      <c r="D1757" t="s">
        <v>29</v>
      </c>
      <c r="E1757" t="s">
        <v>364</v>
      </c>
      <c r="F1757" t="s">
        <v>3894</v>
      </c>
      <c r="G1757" t="str">
        <f>"201604002940"</f>
        <v>201604002940</v>
      </c>
      <c r="H1757">
        <v>28.8</v>
      </c>
      <c r="I1757">
        <v>10</v>
      </c>
      <c r="L1757">
        <v>4</v>
      </c>
      <c r="M1757">
        <v>4</v>
      </c>
      <c r="N1757">
        <v>4</v>
      </c>
      <c r="O1757">
        <v>0</v>
      </c>
      <c r="P1757">
        <v>46.8</v>
      </c>
      <c r="Q1757">
        <v>0</v>
      </c>
      <c r="R1757">
        <v>0</v>
      </c>
      <c r="S1757">
        <v>0</v>
      </c>
      <c r="T1757">
        <v>0</v>
      </c>
      <c r="U1757" s="1">
        <v>0</v>
      </c>
      <c r="V1757">
        <v>46.8</v>
      </c>
    </row>
    <row r="1758" spans="1:22" ht="15">
      <c r="A1758" s="4">
        <v>1751</v>
      </c>
      <c r="B1758">
        <v>3066</v>
      </c>
      <c r="C1758" t="s">
        <v>3895</v>
      </c>
      <c r="D1758" t="s">
        <v>3896</v>
      </c>
      <c r="E1758" t="s">
        <v>197</v>
      </c>
      <c r="F1758" t="s">
        <v>3897</v>
      </c>
      <c r="G1758" t="str">
        <f>"201511042726"</f>
        <v>201511042726</v>
      </c>
      <c r="H1758">
        <v>26.76</v>
      </c>
      <c r="I1758">
        <v>0</v>
      </c>
      <c r="M1758">
        <v>4</v>
      </c>
      <c r="N1758">
        <v>0</v>
      </c>
      <c r="O1758">
        <v>0</v>
      </c>
      <c r="P1758">
        <v>30.76</v>
      </c>
      <c r="Q1758">
        <v>7</v>
      </c>
      <c r="R1758">
        <v>7</v>
      </c>
      <c r="S1758">
        <v>9</v>
      </c>
      <c r="T1758">
        <v>0</v>
      </c>
      <c r="U1758" s="1">
        <v>0</v>
      </c>
      <c r="V1758">
        <v>46.76</v>
      </c>
    </row>
    <row r="1759" spans="1:22" ht="15">
      <c r="A1759" s="4">
        <v>1752</v>
      </c>
      <c r="B1759">
        <v>830</v>
      </c>
      <c r="C1759" t="s">
        <v>120</v>
      </c>
      <c r="D1759" t="s">
        <v>121</v>
      </c>
      <c r="E1759" t="s">
        <v>3898</v>
      </c>
      <c r="F1759" t="s">
        <v>3899</v>
      </c>
      <c r="G1759" t="str">
        <f>"00512552"</f>
        <v>00512552</v>
      </c>
      <c r="H1759">
        <v>39.64</v>
      </c>
      <c r="I1759">
        <v>0</v>
      </c>
      <c r="L1759">
        <v>4</v>
      </c>
      <c r="M1759">
        <v>0</v>
      </c>
      <c r="N1759">
        <v>4</v>
      </c>
      <c r="O1759">
        <v>0</v>
      </c>
      <c r="P1759">
        <v>43.64</v>
      </c>
      <c r="Q1759">
        <v>0</v>
      </c>
      <c r="R1759">
        <v>0</v>
      </c>
      <c r="S1759">
        <v>3</v>
      </c>
      <c r="T1759">
        <v>0</v>
      </c>
      <c r="U1759" s="1">
        <v>0</v>
      </c>
      <c r="V1759">
        <v>46.64</v>
      </c>
    </row>
    <row r="1760" spans="1:22" ht="15">
      <c r="A1760" s="4">
        <v>1753</v>
      </c>
      <c r="B1760">
        <v>2646</v>
      </c>
      <c r="C1760" t="s">
        <v>3900</v>
      </c>
      <c r="D1760" t="s">
        <v>14</v>
      </c>
      <c r="E1760" t="s">
        <v>19</v>
      </c>
      <c r="F1760" t="s">
        <v>3901</v>
      </c>
      <c r="G1760" t="str">
        <f>"00095878"</f>
        <v>00095878</v>
      </c>
      <c r="H1760">
        <v>39.6</v>
      </c>
      <c r="I1760">
        <v>0</v>
      </c>
      <c r="M1760">
        <v>4</v>
      </c>
      <c r="N1760">
        <v>0</v>
      </c>
      <c r="O1760">
        <v>0</v>
      </c>
      <c r="P1760">
        <v>43.6</v>
      </c>
      <c r="Q1760">
        <v>0</v>
      </c>
      <c r="R1760">
        <v>0</v>
      </c>
      <c r="S1760">
        <v>3</v>
      </c>
      <c r="T1760">
        <v>0</v>
      </c>
      <c r="U1760" s="1">
        <v>0</v>
      </c>
      <c r="V1760">
        <v>46.6</v>
      </c>
    </row>
    <row r="1761" spans="1:22" ht="15">
      <c r="A1761" s="4">
        <v>1754</v>
      </c>
      <c r="B1761">
        <v>528</v>
      </c>
      <c r="C1761" t="s">
        <v>2512</v>
      </c>
      <c r="D1761" t="s">
        <v>1021</v>
      </c>
      <c r="E1761" t="s">
        <v>344</v>
      </c>
      <c r="F1761" t="s">
        <v>3902</v>
      </c>
      <c r="G1761" t="str">
        <f>"00024637"</f>
        <v>00024637</v>
      </c>
      <c r="H1761">
        <v>35.6</v>
      </c>
      <c r="I1761">
        <v>0</v>
      </c>
      <c r="M1761">
        <v>4</v>
      </c>
      <c r="N1761">
        <v>0</v>
      </c>
      <c r="O1761">
        <v>0</v>
      </c>
      <c r="P1761">
        <v>39.6</v>
      </c>
      <c r="Q1761">
        <v>7</v>
      </c>
      <c r="R1761">
        <v>7</v>
      </c>
      <c r="S1761">
        <v>0</v>
      </c>
      <c r="T1761">
        <v>0</v>
      </c>
      <c r="U1761" s="1">
        <v>0</v>
      </c>
      <c r="V1761">
        <v>46.6</v>
      </c>
    </row>
    <row r="1762" spans="1:22" ht="15">
      <c r="A1762" s="4">
        <v>1755</v>
      </c>
      <c r="B1762">
        <v>2205</v>
      </c>
      <c r="C1762" t="s">
        <v>3903</v>
      </c>
      <c r="D1762" t="s">
        <v>3502</v>
      </c>
      <c r="E1762" t="s">
        <v>157</v>
      </c>
      <c r="F1762" t="s">
        <v>3904</v>
      </c>
      <c r="G1762" t="str">
        <f>"00518071"</f>
        <v>00518071</v>
      </c>
      <c r="H1762">
        <v>35.56</v>
      </c>
      <c r="I1762">
        <v>0</v>
      </c>
      <c r="L1762">
        <v>4</v>
      </c>
      <c r="M1762">
        <v>4</v>
      </c>
      <c r="N1762">
        <v>4</v>
      </c>
      <c r="O1762">
        <v>0</v>
      </c>
      <c r="P1762">
        <v>43.56</v>
      </c>
      <c r="Q1762">
        <v>0</v>
      </c>
      <c r="R1762">
        <v>0</v>
      </c>
      <c r="S1762">
        <v>3</v>
      </c>
      <c r="T1762">
        <v>0</v>
      </c>
      <c r="U1762" s="1">
        <v>0</v>
      </c>
      <c r="V1762">
        <v>46.56</v>
      </c>
    </row>
    <row r="1763" spans="1:22" ht="15">
      <c r="A1763" s="4">
        <v>1756</v>
      </c>
      <c r="B1763">
        <v>483</v>
      </c>
      <c r="C1763" t="s">
        <v>3905</v>
      </c>
      <c r="D1763" t="s">
        <v>40</v>
      </c>
      <c r="E1763" t="s">
        <v>99</v>
      </c>
      <c r="F1763" t="s">
        <v>3906</v>
      </c>
      <c r="G1763" t="str">
        <f>"00531994"</f>
        <v>00531994</v>
      </c>
      <c r="H1763">
        <v>30.48</v>
      </c>
      <c r="I1763">
        <v>10</v>
      </c>
      <c r="M1763">
        <v>0</v>
      </c>
      <c r="N1763">
        <v>0</v>
      </c>
      <c r="O1763">
        <v>0</v>
      </c>
      <c r="P1763">
        <v>40.48</v>
      </c>
      <c r="Q1763">
        <v>0</v>
      </c>
      <c r="R1763">
        <v>0</v>
      </c>
      <c r="S1763">
        <v>6</v>
      </c>
      <c r="T1763">
        <v>0</v>
      </c>
      <c r="U1763" s="1">
        <v>0</v>
      </c>
      <c r="V1763">
        <v>46.48</v>
      </c>
    </row>
    <row r="1764" spans="1:22" ht="15">
      <c r="A1764" s="4">
        <v>1757</v>
      </c>
      <c r="B1764">
        <v>2948</v>
      </c>
      <c r="C1764" t="s">
        <v>3907</v>
      </c>
      <c r="D1764" t="s">
        <v>339</v>
      </c>
      <c r="E1764" t="s">
        <v>344</v>
      </c>
      <c r="F1764" t="s">
        <v>3908</v>
      </c>
      <c r="G1764" t="str">
        <f>"00498320"</f>
        <v>00498320</v>
      </c>
      <c r="H1764">
        <v>19.48</v>
      </c>
      <c r="I1764">
        <v>0</v>
      </c>
      <c r="M1764">
        <v>0</v>
      </c>
      <c r="N1764">
        <v>0</v>
      </c>
      <c r="O1764">
        <v>0</v>
      </c>
      <c r="P1764">
        <v>19.48</v>
      </c>
      <c r="Q1764">
        <v>18</v>
      </c>
      <c r="R1764">
        <v>18</v>
      </c>
      <c r="S1764">
        <v>9</v>
      </c>
      <c r="T1764">
        <v>0</v>
      </c>
      <c r="U1764" s="1">
        <v>0</v>
      </c>
      <c r="V1764">
        <v>46.48</v>
      </c>
    </row>
    <row r="1765" spans="1:22" ht="15">
      <c r="A1765" s="4">
        <v>1758</v>
      </c>
      <c r="B1765">
        <v>1479</v>
      </c>
      <c r="C1765" t="s">
        <v>3909</v>
      </c>
      <c r="D1765" t="s">
        <v>170</v>
      </c>
      <c r="E1765" t="s">
        <v>51</v>
      </c>
      <c r="F1765" t="s">
        <v>3910</v>
      </c>
      <c r="G1765" t="str">
        <f>"201511028511"</f>
        <v>201511028511</v>
      </c>
      <c r="H1765">
        <v>35.44</v>
      </c>
      <c r="I1765">
        <v>0</v>
      </c>
      <c r="L1765">
        <v>4</v>
      </c>
      <c r="M1765">
        <v>4</v>
      </c>
      <c r="N1765">
        <v>4</v>
      </c>
      <c r="O1765">
        <v>0</v>
      </c>
      <c r="P1765">
        <v>43.44</v>
      </c>
      <c r="Q1765">
        <v>0</v>
      </c>
      <c r="R1765">
        <v>0</v>
      </c>
      <c r="S1765">
        <v>3</v>
      </c>
      <c r="T1765">
        <v>0</v>
      </c>
      <c r="U1765" s="1">
        <v>0</v>
      </c>
      <c r="V1765">
        <v>46.44</v>
      </c>
    </row>
    <row r="1766" spans="1:22" ht="15">
      <c r="A1766" s="4">
        <v>1759</v>
      </c>
      <c r="B1766">
        <v>803</v>
      </c>
      <c r="C1766" t="s">
        <v>3911</v>
      </c>
      <c r="D1766" t="s">
        <v>3912</v>
      </c>
      <c r="E1766" t="s">
        <v>403</v>
      </c>
      <c r="F1766" t="s">
        <v>3913</v>
      </c>
      <c r="G1766" t="str">
        <f>"00501149"</f>
        <v>00501149</v>
      </c>
      <c r="H1766">
        <v>14.4</v>
      </c>
      <c r="I1766">
        <v>0</v>
      </c>
      <c r="M1766">
        <v>4</v>
      </c>
      <c r="N1766">
        <v>0</v>
      </c>
      <c r="O1766">
        <v>0</v>
      </c>
      <c r="P1766">
        <v>18.4</v>
      </c>
      <c r="Q1766">
        <v>28</v>
      </c>
      <c r="R1766">
        <v>28</v>
      </c>
      <c r="S1766">
        <v>0</v>
      </c>
      <c r="T1766">
        <v>0</v>
      </c>
      <c r="U1766" s="1">
        <v>0</v>
      </c>
      <c r="V1766">
        <v>46.4</v>
      </c>
    </row>
    <row r="1767" spans="1:22" ht="15">
      <c r="A1767" s="4">
        <v>1760</v>
      </c>
      <c r="B1767">
        <v>645</v>
      </c>
      <c r="C1767" t="s">
        <v>377</v>
      </c>
      <c r="D1767" t="s">
        <v>1296</v>
      </c>
      <c r="E1767" t="s">
        <v>11</v>
      </c>
      <c r="F1767" t="s">
        <v>3914</v>
      </c>
      <c r="G1767" t="str">
        <f>"00500505"</f>
        <v>00500505</v>
      </c>
      <c r="H1767">
        <v>14.4</v>
      </c>
      <c r="I1767">
        <v>0</v>
      </c>
      <c r="L1767">
        <v>4</v>
      </c>
      <c r="M1767">
        <v>0</v>
      </c>
      <c r="N1767">
        <v>4</v>
      </c>
      <c r="O1767">
        <v>0</v>
      </c>
      <c r="P1767">
        <v>18.4</v>
      </c>
      <c r="Q1767">
        <v>22</v>
      </c>
      <c r="R1767">
        <v>22</v>
      </c>
      <c r="S1767">
        <v>6</v>
      </c>
      <c r="T1767">
        <v>0</v>
      </c>
      <c r="U1767" s="1">
        <v>0</v>
      </c>
      <c r="V1767">
        <v>46.4</v>
      </c>
    </row>
    <row r="1768" spans="1:22" ht="15">
      <c r="A1768" s="4">
        <v>1761</v>
      </c>
      <c r="B1768">
        <v>250</v>
      </c>
      <c r="C1768" t="s">
        <v>3915</v>
      </c>
      <c r="D1768" t="s">
        <v>179</v>
      </c>
      <c r="E1768" t="s">
        <v>51</v>
      </c>
      <c r="F1768" t="s">
        <v>3916</v>
      </c>
      <c r="G1768" t="str">
        <f>"00152045"</f>
        <v>00152045</v>
      </c>
      <c r="H1768">
        <v>14.4</v>
      </c>
      <c r="I1768">
        <v>0</v>
      </c>
      <c r="L1768">
        <v>4</v>
      </c>
      <c r="M1768">
        <v>4</v>
      </c>
      <c r="N1768">
        <v>4</v>
      </c>
      <c r="O1768">
        <v>2</v>
      </c>
      <c r="P1768">
        <v>24.4</v>
      </c>
      <c r="Q1768">
        <v>22</v>
      </c>
      <c r="R1768">
        <v>22</v>
      </c>
      <c r="S1768">
        <v>0</v>
      </c>
      <c r="T1768">
        <v>0</v>
      </c>
      <c r="U1768" s="1">
        <v>0</v>
      </c>
      <c r="V1768">
        <v>46.4</v>
      </c>
    </row>
    <row r="1769" spans="1:22" ht="15">
      <c r="A1769" s="4">
        <v>1762</v>
      </c>
      <c r="B1769">
        <v>1037</v>
      </c>
      <c r="C1769" t="s">
        <v>3917</v>
      </c>
      <c r="D1769" t="s">
        <v>211</v>
      </c>
      <c r="E1769" t="s">
        <v>19</v>
      </c>
      <c r="F1769" t="s">
        <v>3918</v>
      </c>
      <c r="G1769" t="str">
        <f>"00514896"</f>
        <v>00514896</v>
      </c>
      <c r="H1769">
        <v>36.4</v>
      </c>
      <c r="I1769">
        <v>0</v>
      </c>
      <c r="M1769">
        <v>4</v>
      </c>
      <c r="N1769">
        <v>0</v>
      </c>
      <c r="O1769">
        <v>0</v>
      </c>
      <c r="P1769">
        <v>40.4</v>
      </c>
      <c r="Q1769">
        <v>0</v>
      </c>
      <c r="R1769">
        <v>0</v>
      </c>
      <c r="S1769">
        <v>6</v>
      </c>
      <c r="T1769">
        <v>0</v>
      </c>
      <c r="U1769" s="1">
        <v>0</v>
      </c>
      <c r="V1769">
        <v>46.4</v>
      </c>
    </row>
    <row r="1770" spans="1:22" ht="15">
      <c r="A1770" s="4">
        <v>1763</v>
      </c>
      <c r="B1770">
        <v>1373</v>
      </c>
      <c r="C1770" t="s">
        <v>3919</v>
      </c>
      <c r="D1770" t="s">
        <v>26</v>
      </c>
      <c r="E1770" t="s">
        <v>3920</v>
      </c>
      <c r="F1770" t="s">
        <v>3921</v>
      </c>
      <c r="G1770" t="str">
        <f>"00526959"</f>
        <v>00526959</v>
      </c>
      <c r="H1770">
        <v>33.32</v>
      </c>
      <c r="I1770">
        <v>0</v>
      </c>
      <c r="M1770">
        <v>4</v>
      </c>
      <c r="N1770">
        <v>0</v>
      </c>
      <c r="O1770">
        <v>0</v>
      </c>
      <c r="P1770">
        <v>37.32</v>
      </c>
      <c r="Q1770">
        <v>0</v>
      </c>
      <c r="R1770">
        <v>0</v>
      </c>
      <c r="S1770">
        <v>9</v>
      </c>
      <c r="T1770">
        <v>0</v>
      </c>
      <c r="U1770" s="1">
        <v>0</v>
      </c>
      <c r="V1770">
        <v>46.32</v>
      </c>
    </row>
    <row r="1771" spans="1:22" ht="15">
      <c r="A1771" s="4">
        <v>1764</v>
      </c>
      <c r="B1771">
        <v>2599</v>
      </c>
      <c r="C1771" t="s">
        <v>3922</v>
      </c>
      <c r="D1771" t="s">
        <v>266</v>
      </c>
      <c r="E1771" t="s">
        <v>11</v>
      </c>
      <c r="F1771" t="s">
        <v>3923</v>
      </c>
      <c r="G1771" t="str">
        <f>"00483930"</f>
        <v>00483930</v>
      </c>
      <c r="H1771">
        <v>26.28</v>
      </c>
      <c r="I1771">
        <v>10</v>
      </c>
      <c r="M1771">
        <v>4</v>
      </c>
      <c r="N1771">
        <v>0</v>
      </c>
      <c r="O1771">
        <v>0</v>
      </c>
      <c r="P1771">
        <v>40.28</v>
      </c>
      <c r="Q1771">
        <v>6</v>
      </c>
      <c r="R1771">
        <v>6</v>
      </c>
      <c r="S1771">
        <v>0</v>
      </c>
      <c r="T1771">
        <v>0</v>
      </c>
      <c r="U1771" s="1">
        <v>0</v>
      </c>
      <c r="V1771">
        <v>46.28</v>
      </c>
    </row>
    <row r="1772" spans="1:22" ht="15">
      <c r="A1772" s="4">
        <v>1765</v>
      </c>
      <c r="B1772">
        <v>136</v>
      </c>
      <c r="C1772" t="s">
        <v>3924</v>
      </c>
      <c r="D1772" t="s">
        <v>14</v>
      </c>
      <c r="E1772" t="s">
        <v>403</v>
      </c>
      <c r="F1772" t="s">
        <v>3925</v>
      </c>
      <c r="G1772" t="str">
        <f>"00526343"</f>
        <v>00526343</v>
      </c>
      <c r="H1772">
        <v>34.24</v>
      </c>
      <c r="I1772">
        <v>0</v>
      </c>
      <c r="M1772">
        <v>0</v>
      </c>
      <c r="N1772">
        <v>0</v>
      </c>
      <c r="O1772">
        <v>0</v>
      </c>
      <c r="P1772">
        <v>34.24</v>
      </c>
      <c r="Q1772">
        <v>6</v>
      </c>
      <c r="R1772">
        <v>6</v>
      </c>
      <c r="S1772">
        <v>6</v>
      </c>
      <c r="T1772">
        <v>0</v>
      </c>
      <c r="U1772" s="1">
        <v>0</v>
      </c>
      <c r="V1772">
        <v>46.24</v>
      </c>
    </row>
    <row r="1773" spans="1:22" ht="15">
      <c r="A1773" s="4">
        <v>1766</v>
      </c>
      <c r="B1773">
        <v>1690</v>
      </c>
      <c r="C1773" t="s">
        <v>3926</v>
      </c>
      <c r="D1773" t="s">
        <v>14</v>
      </c>
      <c r="E1773" t="s">
        <v>19</v>
      </c>
      <c r="F1773" t="s">
        <v>3927</v>
      </c>
      <c r="G1773" t="str">
        <f>"200805000468"</f>
        <v>200805000468</v>
      </c>
      <c r="H1773">
        <v>39.2</v>
      </c>
      <c r="I1773">
        <v>0</v>
      </c>
      <c r="M1773">
        <v>4</v>
      </c>
      <c r="N1773">
        <v>0</v>
      </c>
      <c r="O1773">
        <v>0</v>
      </c>
      <c r="P1773">
        <v>43.2</v>
      </c>
      <c r="Q1773">
        <v>0</v>
      </c>
      <c r="R1773">
        <v>0</v>
      </c>
      <c r="S1773">
        <v>3</v>
      </c>
      <c r="T1773">
        <v>0</v>
      </c>
      <c r="U1773" s="1">
        <v>0</v>
      </c>
      <c r="V1773">
        <v>46.2</v>
      </c>
    </row>
    <row r="1774" spans="1:22" ht="15">
      <c r="A1774" s="4">
        <v>1767</v>
      </c>
      <c r="B1774">
        <v>3011</v>
      </c>
      <c r="C1774" t="s">
        <v>607</v>
      </c>
      <c r="D1774" t="s">
        <v>643</v>
      </c>
      <c r="E1774" t="s">
        <v>11</v>
      </c>
      <c r="F1774" t="s">
        <v>3928</v>
      </c>
      <c r="G1774" t="str">
        <f>"00440446"</f>
        <v>00440446</v>
      </c>
      <c r="H1774">
        <v>43.2</v>
      </c>
      <c r="I1774">
        <v>0</v>
      </c>
      <c r="M1774">
        <v>0</v>
      </c>
      <c r="N1774">
        <v>0</v>
      </c>
      <c r="O1774">
        <v>0</v>
      </c>
      <c r="P1774">
        <v>43.2</v>
      </c>
      <c r="Q1774">
        <v>0</v>
      </c>
      <c r="R1774">
        <v>0</v>
      </c>
      <c r="S1774">
        <v>3</v>
      </c>
      <c r="T1774">
        <v>0</v>
      </c>
      <c r="U1774" s="1">
        <v>0</v>
      </c>
      <c r="V1774">
        <v>46.2</v>
      </c>
    </row>
    <row r="1775" spans="1:22" ht="15">
      <c r="A1775" s="4">
        <v>1768</v>
      </c>
      <c r="B1775">
        <v>626</v>
      </c>
      <c r="C1775" t="s">
        <v>3929</v>
      </c>
      <c r="D1775" t="s">
        <v>102</v>
      </c>
      <c r="E1775" t="s">
        <v>83</v>
      </c>
      <c r="F1775" t="s">
        <v>3930</v>
      </c>
      <c r="G1775" t="str">
        <f>"00255708"</f>
        <v>00255708</v>
      </c>
      <c r="H1775">
        <v>7.2</v>
      </c>
      <c r="I1775">
        <v>0</v>
      </c>
      <c r="L1775">
        <v>4</v>
      </c>
      <c r="M1775">
        <v>4</v>
      </c>
      <c r="N1775">
        <v>4</v>
      </c>
      <c r="O1775">
        <v>0</v>
      </c>
      <c r="P1775">
        <v>15.2</v>
      </c>
      <c r="Q1775">
        <v>31</v>
      </c>
      <c r="R1775">
        <v>31</v>
      </c>
      <c r="S1775">
        <v>0</v>
      </c>
      <c r="T1775">
        <v>0</v>
      </c>
      <c r="U1775" s="1">
        <v>0</v>
      </c>
      <c r="V1775">
        <v>46.2</v>
      </c>
    </row>
    <row r="1776" spans="1:22" ht="15">
      <c r="A1776" s="4">
        <v>1769</v>
      </c>
      <c r="B1776">
        <v>2583</v>
      </c>
      <c r="C1776" t="s">
        <v>2321</v>
      </c>
      <c r="D1776" t="s">
        <v>3931</v>
      </c>
      <c r="E1776" t="s">
        <v>73</v>
      </c>
      <c r="F1776" t="s">
        <v>3932</v>
      </c>
      <c r="G1776" t="str">
        <f>"00530982"</f>
        <v>00530982</v>
      </c>
      <c r="H1776">
        <v>37.2</v>
      </c>
      <c r="I1776">
        <v>0</v>
      </c>
      <c r="M1776">
        <v>0</v>
      </c>
      <c r="N1776">
        <v>0</v>
      </c>
      <c r="O1776">
        <v>0</v>
      </c>
      <c r="P1776">
        <v>37.2</v>
      </c>
      <c r="Q1776">
        <v>6</v>
      </c>
      <c r="R1776">
        <v>6</v>
      </c>
      <c r="S1776">
        <v>3</v>
      </c>
      <c r="T1776">
        <v>0</v>
      </c>
      <c r="U1776" s="1">
        <v>0</v>
      </c>
      <c r="V1776">
        <v>46.2</v>
      </c>
    </row>
    <row r="1777" spans="1:22" ht="15">
      <c r="A1777" s="4">
        <v>1770</v>
      </c>
      <c r="B1777">
        <v>852</v>
      </c>
      <c r="C1777" t="s">
        <v>3933</v>
      </c>
      <c r="D1777" t="s">
        <v>200</v>
      </c>
      <c r="E1777" t="s">
        <v>2453</v>
      </c>
      <c r="F1777" t="s">
        <v>3934</v>
      </c>
      <c r="G1777" t="str">
        <f>"00277770"</f>
        <v>00277770</v>
      </c>
      <c r="H1777">
        <v>39.2</v>
      </c>
      <c r="I1777">
        <v>0</v>
      </c>
      <c r="M1777">
        <v>4</v>
      </c>
      <c r="N1777">
        <v>0</v>
      </c>
      <c r="O1777">
        <v>0</v>
      </c>
      <c r="P1777">
        <v>43.2</v>
      </c>
      <c r="Q1777">
        <v>0</v>
      </c>
      <c r="R1777">
        <v>0</v>
      </c>
      <c r="S1777">
        <v>3</v>
      </c>
      <c r="T1777">
        <v>0</v>
      </c>
      <c r="U1777" s="1">
        <v>0</v>
      </c>
      <c r="V1777">
        <v>46.2</v>
      </c>
    </row>
    <row r="1778" spans="1:22" ht="15">
      <c r="A1778" s="4">
        <v>1771</v>
      </c>
      <c r="B1778">
        <v>2765</v>
      </c>
      <c r="C1778" t="s">
        <v>3935</v>
      </c>
      <c r="D1778" t="s">
        <v>1199</v>
      </c>
      <c r="E1778" t="s">
        <v>157</v>
      </c>
      <c r="F1778" t="s">
        <v>3936</v>
      </c>
      <c r="G1778" t="str">
        <f>"00530967"</f>
        <v>00530967</v>
      </c>
      <c r="H1778">
        <v>27.2</v>
      </c>
      <c r="I1778">
        <v>10</v>
      </c>
      <c r="L1778">
        <v>4</v>
      </c>
      <c r="M1778">
        <v>4</v>
      </c>
      <c r="N1778">
        <v>4</v>
      </c>
      <c r="O1778">
        <v>0</v>
      </c>
      <c r="P1778">
        <v>45.2</v>
      </c>
      <c r="Q1778">
        <v>1</v>
      </c>
      <c r="R1778">
        <v>1</v>
      </c>
      <c r="S1778">
        <v>0</v>
      </c>
      <c r="T1778">
        <v>0</v>
      </c>
      <c r="U1778" s="1">
        <v>0</v>
      </c>
      <c r="V1778">
        <v>46.2</v>
      </c>
    </row>
    <row r="1779" spans="1:22" ht="15">
      <c r="A1779" s="4">
        <v>1772</v>
      </c>
      <c r="B1779">
        <v>310</v>
      </c>
      <c r="C1779" t="s">
        <v>3937</v>
      </c>
      <c r="D1779" t="s">
        <v>29</v>
      </c>
      <c r="E1779" t="s">
        <v>90</v>
      </c>
      <c r="F1779" t="s">
        <v>3938</v>
      </c>
      <c r="G1779" t="str">
        <f>"00147582"</f>
        <v>00147582</v>
      </c>
      <c r="H1779">
        <v>19.16</v>
      </c>
      <c r="I1779">
        <v>10</v>
      </c>
      <c r="J1779">
        <v>8</v>
      </c>
      <c r="M1779">
        <v>0</v>
      </c>
      <c r="N1779">
        <v>8</v>
      </c>
      <c r="O1779">
        <v>0</v>
      </c>
      <c r="P1779">
        <v>37.16</v>
      </c>
      <c r="Q1779">
        <v>0</v>
      </c>
      <c r="R1779">
        <v>0</v>
      </c>
      <c r="S1779">
        <v>9</v>
      </c>
      <c r="T1779">
        <v>0</v>
      </c>
      <c r="U1779" s="1">
        <v>0</v>
      </c>
      <c r="V1779">
        <v>46.16</v>
      </c>
    </row>
    <row r="1780" spans="1:22" ht="15">
      <c r="A1780" s="4">
        <v>1773</v>
      </c>
      <c r="B1780">
        <v>967</v>
      </c>
      <c r="C1780" t="s">
        <v>749</v>
      </c>
      <c r="D1780" t="s">
        <v>3939</v>
      </c>
      <c r="E1780" t="s">
        <v>90</v>
      </c>
      <c r="F1780" t="s">
        <v>3940</v>
      </c>
      <c r="G1780" t="str">
        <f>"00010889"</f>
        <v>00010889</v>
      </c>
      <c r="H1780">
        <v>30.12</v>
      </c>
      <c r="I1780">
        <v>0</v>
      </c>
      <c r="L1780">
        <v>4</v>
      </c>
      <c r="M1780">
        <v>4</v>
      </c>
      <c r="N1780">
        <v>4</v>
      </c>
      <c r="O1780">
        <v>2</v>
      </c>
      <c r="P1780">
        <v>40.12</v>
      </c>
      <c r="Q1780">
        <v>0</v>
      </c>
      <c r="R1780">
        <v>0</v>
      </c>
      <c r="S1780">
        <v>6</v>
      </c>
      <c r="T1780">
        <v>0</v>
      </c>
      <c r="U1780" s="1">
        <v>0</v>
      </c>
      <c r="V1780">
        <v>46.12</v>
      </c>
    </row>
    <row r="1781" spans="1:22" ht="15">
      <c r="A1781" s="4">
        <v>1774</v>
      </c>
      <c r="B1781">
        <v>2072</v>
      </c>
      <c r="C1781" t="s">
        <v>3863</v>
      </c>
      <c r="D1781" t="s">
        <v>485</v>
      </c>
      <c r="E1781" t="s">
        <v>15</v>
      </c>
      <c r="F1781" t="s">
        <v>3941</v>
      </c>
      <c r="G1781" t="str">
        <f>"00522301"</f>
        <v>00522301</v>
      </c>
      <c r="H1781">
        <v>13.08</v>
      </c>
      <c r="I1781">
        <v>0</v>
      </c>
      <c r="M1781">
        <v>4</v>
      </c>
      <c r="N1781">
        <v>0</v>
      </c>
      <c r="O1781">
        <v>0</v>
      </c>
      <c r="P1781">
        <v>17.08</v>
      </c>
      <c r="Q1781">
        <v>29</v>
      </c>
      <c r="R1781">
        <v>29</v>
      </c>
      <c r="S1781">
        <v>0</v>
      </c>
      <c r="T1781">
        <v>0</v>
      </c>
      <c r="U1781" s="1">
        <v>0</v>
      </c>
      <c r="V1781">
        <v>46.08</v>
      </c>
    </row>
    <row r="1782" spans="1:22" ht="15">
      <c r="A1782" s="4">
        <v>1775</v>
      </c>
      <c r="B1782">
        <v>1806</v>
      </c>
      <c r="C1782" t="s">
        <v>3942</v>
      </c>
      <c r="D1782" t="s">
        <v>173</v>
      </c>
      <c r="E1782" t="s">
        <v>23</v>
      </c>
      <c r="F1782" t="s">
        <v>3943</v>
      </c>
      <c r="G1782" t="str">
        <f>"201405001786"</f>
        <v>201405001786</v>
      </c>
      <c r="H1782">
        <v>36</v>
      </c>
      <c r="I1782">
        <v>0</v>
      </c>
      <c r="L1782">
        <v>4</v>
      </c>
      <c r="M1782">
        <v>4</v>
      </c>
      <c r="N1782">
        <v>4</v>
      </c>
      <c r="O1782">
        <v>2</v>
      </c>
      <c r="P1782">
        <v>46</v>
      </c>
      <c r="Q1782">
        <v>0</v>
      </c>
      <c r="R1782">
        <v>0</v>
      </c>
      <c r="S1782">
        <v>0</v>
      </c>
      <c r="T1782">
        <v>0</v>
      </c>
      <c r="U1782" s="1">
        <v>0</v>
      </c>
      <c r="V1782">
        <v>46</v>
      </c>
    </row>
    <row r="1783" spans="1:22" ht="15">
      <c r="A1783" s="4">
        <v>1776</v>
      </c>
      <c r="B1783">
        <v>1501</v>
      </c>
      <c r="C1783" t="s">
        <v>3944</v>
      </c>
      <c r="D1783" t="s">
        <v>76</v>
      </c>
      <c r="E1783" t="s">
        <v>3945</v>
      </c>
      <c r="F1783" t="s">
        <v>3946</v>
      </c>
      <c r="G1783" t="str">
        <f>"00531901"</f>
        <v>00531901</v>
      </c>
      <c r="H1783">
        <v>36</v>
      </c>
      <c r="I1783">
        <v>0</v>
      </c>
      <c r="M1783">
        <v>4</v>
      </c>
      <c r="N1783">
        <v>0</v>
      </c>
      <c r="O1783">
        <v>0</v>
      </c>
      <c r="P1783">
        <v>40</v>
      </c>
      <c r="Q1783">
        <v>6</v>
      </c>
      <c r="R1783">
        <v>6</v>
      </c>
      <c r="S1783">
        <v>0</v>
      </c>
      <c r="T1783">
        <v>0</v>
      </c>
      <c r="U1783" s="1">
        <v>0</v>
      </c>
      <c r="V1783">
        <v>46</v>
      </c>
    </row>
    <row r="1784" spans="1:22" ht="15">
      <c r="A1784" s="4">
        <v>1777</v>
      </c>
      <c r="B1784">
        <v>506</v>
      </c>
      <c r="C1784" t="s">
        <v>413</v>
      </c>
      <c r="D1784" t="s">
        <v>40</v>
      </c>
      <c r="E1784" t="s">
        <v>90</v>
      </c>
      <c r="F1784" t="s">
        <v>3947</v>
      </c>
      <c r="G1784" t="str">
        <f>"00278530"</f>
        <v>00278530</v>
      </c>
      <c r="H1784">
        <v>36</v>
      </c>
      <c r="I1784">
        <v>0</v>
      </c>
      <c r="M1784">
        <v>4</v>
      </c>
      <c r="N1784">
        <v>0</v>
      </c>
      <c r="O1784">
        <v>0</v>
      </c>
      <c r="P1784">
        <v>40</v>
      </c>
      <c r="Q1784">
        <v>0</v>
      </c>
      <c r="R1784">
        <v>0</v>
      </c>
      <c r="S1784">
        <v>6</v>
      </c>
      <c r="T1784">
        <v>0</v>
      </c>
      <c r="U1784" s="1">
        <v>0</v>
      </c>
      <c r="V1784">
        <v>46</v>
      </c>
    </row>
    <row r="1785" spans="1:22" ht="15">
      <c r="A1785" s="4">
        <v>1778</v>
      </c>
      <c r="B1785">
        <v>361</v>
      </c>
      <c r="C1785" t="s">
        <v>3948</v>
      </c>
      <c r="D1785" t="s">
        <v>3949</v>
      </c>
      <c r="E1785" t="s">
        <v>447</v>
      </c>
      <c r="F1785" t="s">
        <v>3950</v>
      </c>
      <c r="G1785" t="str">
        <f>"00520006"</f>
        <v>00520006</v>
      </c>
      <c r="H1785">
        <v>36</v>
      </c>
      <c r="I1785">
        <v>10</v>
      </c>
      <c r="M1785">
        <v>0</v>
      </c>
      <c r="N1785">
        <v>0</v>
      </c>
      <c r="O1785">
        <v>0</v>
      </c>
      <c r="P1785">
        <v>46</v>
      </c>
      <c r="Q1785">
        <v>0</v>
      </c>
      <c r="R1785">
        <v>0</v>
      </c>
      <c r="S1785">
        <v>0</v>
      </c>
      <c r="T1785">
        <v>0</v>
      </c>
      <c r="U1785" s="1">
        <v>0</v>
      </c>
      <c r="V1785">
        <v>46</v>
      </c>
    </row>
    <row r="1786" spans="1:22" ht="15">
      <c r="A1786" s="4">
        <v>1779</v>
      </c>
      <c r="B1786">
        <v>2367</v>
      </c>
      <c r="C1786" t="s">
        <v>3951</v>
      </c>
      <c r="D1786" t="s">
        <v>3864</v>
      </c>
      <c r="E1786" t="s">
        <v>90</v>
      </c>
      <c r="F1786" t="s">
        <v>3952</v>
      </c>
      <c r="G1786" t="str">
        <f>"00531881"</f>
        <v>00531881</v>
      </c>
      <c r="H1786">
        <v>36</v>
      </c>
      <c r="I1786">
        <v>0</v>
      </c>
      <c r="M1786">
        <v>4</v>
      </c>
      <c r="N1786">
        <v>0</v>
      </c>
      <c r="O1786">
        <v>0</v>
      </c>
      <c r="P1786">
        <v>40</v>
      </c>
      <c r="Q1786">
        <v>0</v>
      </c>
      <c r="R1786">
        <v>0</v>
      </c>
      <c r="S1786">
        <v>6</v>
      </c>
      <c r="T1786">
        <v>0</v>
      </c>
      <c r="U1786" s="1">
        <v>0</v>
      </c>
      <c r="V1786">
        <v>46</v>
      </c>
    </row>
    <row r="1787" spans="1:22" ht="15">
      <c r="A1787" s="4">
        <v>1780</v>
      </c>
      <c r="B1787">
        <v>1600</v>
      </c>
      <c r="C1787" t="s">
        <v>3953</v>
      </c>
      <c r="D1787" t="s">
        <v>3954</v>
      </c>
      <c r="E1787" t="s">
        <v>90</v>
      </c>
      <c r="F1787" t="s">
        <v>3955</v>
      </c>
      <c r="G1787" t="str">
        <f>"00520457"</f>
        <v>00520457</v>
      </c>
      <c r="H1787">
        <v>36</v>
      </c>
      <c r="I1787">
        <v>0</v>
      </c>
      <c r="M1787">
        <v>4</v>
      </c>
      <c r="N1787">
        <v>0</v>
      </c>
      <c r="O1787">
        <v>0</v>
      </c>
      <c r="P1787">
        <v>40</v>
      </c>
      <c r="Q1787">
        <v>0</v>
      </c>
      <c r="R1787">
        <v>0</v>
      </c>
      <c r="S1787">
        <v>6</v>
      </c>
      <c r="T1787">
        <v>0</v>
      </c>
      <c r="U1787" s="1">
        <v>0</v>
      </c>
      <c r="V1787">
        <v>46</v>
      </c>
    </row>
    <row r="1788" spans="1:22" ht="15">
      <c r="A1788" s="4">
        <v>1781</v>
      </c>
      <c r="B1788">
        <v>413</v>
      </c>
      <c r="C1788" t="s">
        <v>3956</v>
      </c>
      <c r="D1788" t="s">
        <v>3957</v>
      </c>
      <c r="E1788" t="s">
        <v>41</v>
      </c>
      <c r="F1788" t="s">
        <v>3958</v>
      </c>
      <c r="G1788" t="str">
        <f>"00330378"</f>
        <v>00330378</v>
      </c>
      <c r="H1788">
        <v>36</v>
      </c>
      <c r="I1788">
        <v>0</v>
      </c>
      <c r="M1788">
        <v>4</v>
      </c>
      <c r="N1788">
        <v>0</v>
      </c>
      <c r="O1788">
        <v>0</v>
      </c>
      <c r="P1788">
        <v>40</v>
      </c>
      <c r="Q1788">
        <v>0</v>
      </c>
      <c r="R1788">
        <v>0</v>
      </c>
      <c r="S1788">
        <v>6</v>
      </c>
      <c r="T1788">
        <v>0</v>
      </c>
      <c r="U1788" s="1">
        <v>0</v>
      </c>
      <c r="V1788">
        <v>46</v>
      </c>
    </row>
    <row r="1789" spans="1:22" ht="15">
      <c r="A1789" s="4">
        <v>1782</v>
      </c>
      <c r="B1789">
        <v>333</v>
      </c>
      <c r="C1789" t="s">
        <v>3959</v>
      </c>
      <c r="D1789" t="s">
        <v>892</v>
      </c>
      <c r="E1789" t="s">
        <v>73</v>
      </c>
      <c r="F1789" t="s">
        <v>3960</v>
      </c>
      <c r="G1789" t="str">
        <f>"00037113"</f>
        <v>00037113</v>
      </c>
      <c r="H1789">
        <v>28</v>
      </c>
      <c r="I1789">
        <v>10</v>
      </c>
      <c r="M1789">
        <v>4</v>
      </c>
      <c r="N1789">
        <v>0</v>
      </c>
      <c r="O1789">
        <v>0</v>
      </c>
      <c r="P1789">
        <v>42</v>
      </c>
      <c r="Q1789">
        <v>1</v>
      </c>
      <c r="R1789">
        <v>1</v>
      </c>
      <c r="S1789">
        <v>3</v>
      </c>
      <c r="T1789">
        <v>0</v>
      </c>
      <c r="U1789" s="1">
        <v>0</v>
      </c>
      <c r="V1789">
        <v>46</v>
      </c>
    </row>
    <row r="1790" spans="1:22" ht="15">
      <c r="A1790" s="4">
        <v>1783</v>
      </c>
      <c r="B1790">
        <v>1702</v>
      </c>
      <c r="C1790" t="s">
        <v>3961</v>
      </c>
      <c r="D1790" t="s">
        <v>280</v>
      </c>
      <c r="E1790" t="s">
        <v>2765</v>
      </c>
      <c r="F1790" t="s">
        <v>3962</v>
      </c>
      <c r="G1790" t="str">
        <f>"00161148"</f>
        <v>00161148</v>
      </c>
      <c r="H1790">
        <v>36</v>
      </c>
      <c r="I1790">
        <v>0</v>
      </c>
      <c r="M1790">
        <v>4</v>
      </c>
      <c r="N1790">
        <v>0</v>
      </c>
      <c r="O1790">
        <v>0</v>
      </c>
      <c r="P1790">
        <v>40</v>
      </c>
      <c r="Q1790">
        <v>0</v>
      </c>
      <c r="R1790">
        <v>0</v>
      </c>
      <c r="S1790">
        <v>6</v>
      </c>
      <c r="T1790">
        <v>0</v>
      </c>
      <c r="U1790" s="1">
        <v>0</v>
      </c>
      <c r="V1790">
        <v>46</v>
      </c>
    </row>
    <row r="1791" spans="1:22" ht="15">
      <c r="A1791" s="4">
        <v>1784</v>
      </c>
      <c r="B1791">
        <v>2360</v>
      </c>
      <c r="C1791" t="s">
        <v>3963</v>
      </c>
      <c r="D1791" t="s">
        <v>1400</v>
      </c>
      <c r="E1791" t="s">
        <v>15</v>
      </c>
      <c r="F1791" t="s">
        <v>3964</v>
      </c>
      <c r="G1791" t="str">
        <f>"00530910"</f>
        <v>00530910</v>
      </c>
      <c r="H1791">
        <v>40</v>
      </c>
      <c r="I1791">
        <v>0</v>
      </c>
      <c r="M1791">
        <v>0</v>
      </c>
      <c r="N1791">
        <v>0</v>
      </c>
      <c r="O1791">
        <v>0</v>
      </c>
      <c r="P1791">
        <v>40</v>
      </c>
      <c r="Q1791">
        <v>0</v>
      </c>
      <c r="R1791">
        <v>0</v>
      </c>
      <c r="S1791">
        <v>6</v>
      </c>
      <c r="T1791">
        <v>0</v>
      </c>
      <c r="U1791" s="1">
        <v>0</v>
      </c>
      <c r="V1791">
        <v>46</v>
      </c>
    </row>
    <row r="1792" spans="1:22" ht="15">
      <c r="A1792" s="4">
        <v>1785</v>
      </c>
      <c r="B1792">
        <v>2065</v>
      </c>
      <c r="C1792" t="s">
        <v>1223</v>
      </c>
      <c r="D1792" t="s">
        <v>3965</v>
      </c>
      <c r="E1792" t="s">
        <v>23</v>
      </c>
      <c r="F1792" t="s">
        <v>3966</v>
      </c>
      <c r="G1792" t="str">
        <f>"00467841"</f>
        <v>00467841</v>
      </c>
      <c r="H1792">
        <v>36</v>
      </c>
      <c r="I1792">
        <v>0</v>
      </c>
      <c r="M1792">
        <v>4</v>
      </c>
      <c r="N1792">
        <v>0</v>
      </c>
      <c r="O1792">
        <v>0</v>
      </c>
      <c r="P1792">
        <v>40</v>
      </c>
      <c r="Q1792">
        <v>0</v>
      </c>
      <c r="R1792">
        <v>0</v>
      </c>
      <c r="S1792">
        <v>6</v>
      </c>
      <c r="T1792">
        <v>0</v>
      </c>
      <c r="U1792" s="1">
        <v>0</v>
      </c>
      <c r="V1792">
        <v>46</v>
      </c>
    </row>
    <row r="1793" spans="1:22" ht="15">
      <c r="A1793" s="4">
        <v>1786</v>
      </c>
      <c r="B1793">
        <v>2406</v>
      </c>
      <c r="C1793" t="s">
        <v>3967</v>
      </c>
      <c r="D1793" t="s">
        <v>357</v>
      </c>
      <c r="E1793" t="s">
        <v>59</v>
      </c>
      <c r="F1793" t="s">
        <v>3968</v>
      </c>
      <c r="G1793" t="str">
        <f>"00528900"</f>
        <v>00528900</v>
      </c>
      <c r="H1793">
        <v>36</v>
      </c>
      <c r="I1793">
        <v>0</v>
      </c>
      <c r="M1793">
        <v>4</v>
      </c>
      <c r="N1793">
        <v>0</v>
      </c>
      <c r="O1793">
        <v>0</v>
      </c>
      <c r="P1793">
        <v>40</v>
      </c>
      <c r="Q1793">
        <v>0</v>
      </c>
      <c r="R1793">
        <v>0</v>
      </c>
      <c r="S1793">
        <v>6</v>
      </c>
      <c r="T1793">
        <v>0</v>
      </c>
      <c r="U1793" s="1">
        <v>0</v>
      </c>
      <c r="V1793">
        <v>46</v>
      </c>
    </row>
    <row r="1794" spans="1:22" ht="15">
      <c r="A1794" s="4">
        <v>1787</v>
      </c>
      <c r="B1794">
        <v>272</v>
      </c>
      <c r="C1794" t="s">
        <v>3221</v>
      </c>
      <c r="D1794" t="s">
        <v>40</v>
      </c>
      <c r="E1794" t="s">
        <v>90</v>
      </c>
      <c r="F1794" t="s">
        <v>3969</v>
      </c>
      <c r="G1794" t="str">
        <f>"00530392"</f>
        <v>00530392</v>
      </c>
      <c r="H1794">
        <v>33</v>
      </c>
      <c r="I1794">
        <v>0</v>
      </c>
      <c r="K1794">
        <v>6</v>
      </c>
      <c r="M1794">
        <v>4</v>
      </c>
      <c r="N1794">
        <v>6</v>
      </c>
      <c r="O1794">
        <v>0</v>
      </c>
      <c r="P1794">
        <v>43</v>
      </c>
      <c r="Q1794">
        <v>0</v>
      </c>
      <c r="R1794">
        <v>0</v>
      </c>
      <c r="S1794">
        <v>3</v>
      </c>
      <c r="T1794">
        <v>0</v>
      </c>
      <c r="U1794" s="1">
        <v>0</v>
      </c>
      <c r="V1794">
        <v>46</v>
      </c>
    </row>
    <row r="1795" spans="1:22" ht="15">
      <c r="A1795" s="4">
        <v>1788</v>
      </c>
      <c r="B1795">
        <v>1131</v>
      </c>
      <c r="C1795" t="s">
        <v>3970</v>
      </c>
      <c r="D1795" t="s">
        <v>3971</v>
      </c>
      <c r="E1795" t="s">
        <v>499</v>
      </c>
      <c r="F1795" t="s">
        <v>3972</v>
      </c>
      <c r="G1795" t="str">
        <f>"00531776"</f>
        <v>00531776</v>
      </c>
      <c r="H1795">
        <v>36</v>
      </c>
      <c r="I1795">
        <v>0</v>
      </c>
      <c r="M1795">
        <v>4</v>
      </c>
      <c r="N1795">
        <v>0</v>
      </c>
      <c r="O1795">
        <v>0</v>
      </c>
      <c r="P1795">
        <v>40</v>
      </c>
      <c r="Q1795">
        <v>6</v>
      </c>
      <c r="R1795">
        <v>6</v>
      </c>
      <c r="S1795">
        <v>0</v>
      </c>
      <c r="T1795">
        <v>0</v>
      </c>
      <c r="U1795" s="1">
        <v>0</v>
      </c>
      <c r="V1795">
        <v>46</v>
      </c>
    </row>
    <row r="1796" spans="1:22" ht="15">
      <c r="A1796" s="4">
        <v>1789</v>
      </c>
      <c r="B1796">
        <v>2456</v>
      </c>
      <c r="C1796" t="s">
        <v>3973</v>
      </c>
      <c r="D1796" t="s">
        <v>3974</v>
      </c>
      <c r="E1796" t="s">
        <v>30</v>
      </c>
      <c r="F1796" t="s">
        <v>3975</v>
      </c>
      <c r="G1796" t="str">
        <f>"00521202"</f>
        <v>00521202</v>
      </c>
      <c r="H1796">
        <v>36</v>
      </c>
      <c r="I1796">
        <v>0</v>
      </c>
      <c r="M1796">
        <v>4</v>
      </c>
      <c r="N1796">
        <v>0</v>
      </c>
      <c r="O1796">
        <v>0</v>
      </c>
      <c r="P1796">
        <v>40</v>
      </c>
      <c r="Q1796">
        <v>0</v>
      </c>
      <c r="R1796">
        <v>0</v>
      </c>
      <c r="S1796">
        <v>6</v>
      </c>
      <c r="T1796">
        <v>0</v>
      </c>
      <c r="U1796" s="1">
        <v>0</v>
      </c>
      <c r="V1796">
        <v>46</v>
      </c>
    </row>
    <row r="1797" spans="1:22" ht="15">
      <c r="A1797" s="4">
        <v>1790</v>
      </c>
      <c r="B1797">
        <v>1697</v>
      </c>
      <c r="C1797" t="s">
        <v>3976</v>
      </c>
      <c r="D1797" t="s">
        <v>1744</v>
      </c>
      <c r="E1797" t="s">
        <v>23</v>
      </c>
      <c r="F1797" t="s">
        <v>3977</v>
      </c>
      <c r="G1797" t="str">
        <f>"00409291"</f>
        <v>00409291</v>
      </c>
      <c r="H1797">
        <v>36</v>
      </c>
      <c r="I1797">
        <v>0</v>
      </c>
      <c r="M1797">
        <v>4</v>
      </c>
      <c r="N1797">
        <v>0</v>
      </c>
      <c r="O1797">
        <v>0</v>
      </c>
      <c r="P1797">
        <v>40</v>
      </c>
      <c r="Q1797">
        <v>0</v>
      </c>
      <c r="R1797">
        <v>0</v>
      </c>
      <c r="S1797">
        <v>6</v>
      </c>
      <c r="T1797">
        <v>0</v>
      </c>
      <c r="U1797" s="1">
        <v>0</v>
      </c>
      <c r="V1797">
        <v>46</v>
      </c>
    </row>
    <row r="1798" spans="1:22" ht="15">
      <c r="A1798" s="4">
        <v>1791</v>
      </c>
      <c r="B1798">
        <v>1933</v>
      </c>
      <c r="C1798" t="s">
        <v>2550</v>
      </c>
      <c r="D1798" t="s">
        <v>156</v>
      </c>
      <c r="E1798" t="s">
        <v>15</v>
      </c>
      <c r="F1798" t="s">
        <v>3978</v>
      </c>
      <c r="G1798" t="str">
        <f>"00479563"</f>
        <v>00479563</v>
      </c>
      <c r="H1798">
        <v>40</v>
      </c>
      <c r="I1798">
        <v>0</v>
      </c>
      <c r="M1798">
        <v>0</v>
      </c>
      <c r="N1798">
        <v>0</v>
      </c>
      <c r="O1798">
        <v>0</v>
      </c>
      <c r="P1798">
        <v>40</v>
      </c>
      <c r="Q1798">
        <v>0</v>
      </c>
      <c r="R1798">
        <v>0</v>
      </c>
      <c r="S1798">
        <v>6</v>
      </c>
      <c r="T1798">
        <v>0</v>
      </c>
      <c r="U1798" s="1">
        <v>0</v>
      </c>
      <c r="V1798">
        <v>46</v>
      </c>
    </row>
    <row r="1799" spans="1:22" ht="15">
      <c r="A1799" s="4">
        <v>1792</v>
      </c>
      <c r="B1799">
        <v>1117</v>
      </c>
      <c r="C1799" t="s">
        <v>3979</v>
      </c>
      <c r="D1799" t="s">
        <v>193</v>
      </c>
      <c r="E1799" t="s">
        <v>99</v>
      </c>
      <c r="F1799" t="s">
        <v>3980</v>
      </c>
      <c r="G1799" t="str">
        <f>"00531465"</f>
        <v>00531465</v>
      </c>
      <c r="H1799">
        <v>38.92</v>
      </c>
      <c r="I1799">
        <v>0</v>
      </c>
      <c r="M1799">
        <v>4</v>
      </c>
      <c r="N1799">
        <v>0</v>
      </c>
      <c r="O1799">
        <v>0</v>
      </c>
      <c r="P1799">
        <v>42.92</v>
      </c>
      <c r="Q1799">
        <v>0</v>
      </c>
      <c r="R1799">
        <v>0</v>
      </c>
      <c r="S1799">
        <v>3</v>
      </c>
      <c r="T1799">
        <v>0</v>
      </c>
      <c r="U1799" s="1">
        <v>0</v>
      </c>
      <c r="V1799">
        <v>45.92</v>
      </c>
    </row>
    <row r="1800" spans="1:22" ht="15">
      <c r="A1800" s="4">
        <v>1793</v>
      </c>
      <c r="B1800">
        <v>224</v>
      </c>
      <c r="C1800" t="s">
        <v>3981</v>
      </c>
      <c r="D1800" t="s">
        <v>76</v>
      </c>
      <c r="E1800" t="s">
        <v>90</v>
      </c>
      <c r="F1800" t="s">
        <v>3982</v>
      </c>
      <c r="G1800" t="str">
        <f>"00531548"</f>
        <v>00531548</v>
      </c>
      <c r="H1800">
        <v>36.88</v>
      </c>
      <c r="I1800">
        <v>0</v>
      </c>
      <c r="M1800">
        <v>0</v>
      </c>
      <c r="N1800">
        <v>0</v>
      </c>
      <c r="O1800">
        <v>0</v>
      </c>
      <c r="P1800">
        <v>36.88</v>
      </c>
      <c r="Q1800">
        <v>0</v>
      </c>
      <c r="R1800">
        <v>0</v>
      </c>
      <c r="S1800">
        <v>9</v>
      </c>
      <c r="T1800">
        <v>0</v>
      </c>
      <c r="U1800" s="1">
        <v>0</v>
      </c>
      <c r="V1800">
        <v>45.88</v>
      </c>
    </row>
    <row r="1801" spans="1:22" ht="15">
      <c r="A1801" s="4">
        <v>1794</v>
      </c>
      <c r="B1801">
        <v>1754</v>
      </c>
      <c r="C1801" t="s">
        <v>3983</v>
      </c>
      <c r="D1801" t="s">
        <v>127</v>
      </c>
      <c r="E1801" t="s">
        <v>86</v>
      </c>
      <c r="F1801" t="s">
        <v>3984</v>
      </c>
      <c r="G1801" t="str">
        <f>"00528964"</f>
        <v>00528964</v>
      </c>
      <c r="H1801">
        <v>32.88</v>
      </c>
      <c r="I1801">
        <v>0</v>
      </c>
      <c r="M1801">
        <v>4</v>
      </c>
      <c r="N1801">
        <v>0</v>
      </c>
      <c r="O1801">
        <v>0</v>
      </c>
      <c r="P1801">
        <v>36.88</v>
      </c>
      <c r="Q1801">
        <v>0</v>
      </c>
      <c r="R1801">
        <v>0</v>
      </c>
      <c r="S1801">
        <v>9</v>
      </c>
      <c r="T1801">
        <v>0</v>
      </c>
      <c r="U1801" s="1">
        <v>0</v>
      </c>
      <c r="V1801">
        <v>45.88</v>
      </c>
    </row>
    <row r="1802" spans="1:22" ht="15">
      <c r="A1802" s="4">
        <v>1795</v>
      </c>
      <c r="B1802">
        <v>342</v>
      </c>
      <c r="C1802" t="s">
        <v>915</v>
      </c>
      <c r="D1802" t="s">
        <v>485</v>
      </c>
      <c r="E1802" t="s">
        <v>90</v>
      </c>
      <c r="F1802" t="s">
        <v>3985</v>
      </c>
      <c r="G1802" t="str">
        <f>"00512040"</f>
        <v>00512040</v>
      </c>
      <c r="H1802">
        <v>32.88</v>
      </c>
      <c r="I1802">
        <v>10</v>
      </c>
      <c r="M1802">
        <v>0</v>
      </c>
      <c r="N1802">
        <v>0</v>
      </c>
      <c r="O1802">
        <v>0</v>
      </c>
      <c r="P1802">
        <v>42.88</v>
      </c>
      <c r="Q1802">
        <v>0</v>
      </c>
      <c r="R1802">
        <v>0</v>
      </c>
      <c r="S1802">
        <v>3</v>
      </c>
      <c r="T1802">
        <v>0</v>
      </c>
      <c r="U1802" s="1">
        <v>0</v>
      </c>
      <c r="V1802">
        <v>45.88</v>
      </c>
    </row>
    <row r="1803" spans="1:22" ht="15">
      <c r="A1803" s="4">
        <v>1796</v>
      </c>
      <c r="B1803">
        <v>1664</v>
      </c>
      <c r="C1803" t="s">
        <v>3986</v>
      </c>
      <c r="D1803" t="s">
        <v>89</v>
      </c>
      <c r="E1803" t="s">
        <v>19</v>
      </c>
      <c r="F1803" t="s">
        <v>3987</v>
      </c>
      <c r="G1803" t="str">
        <f>"00526454"</f>
        <v>00526454</v>
      </c>
      <c r="H1803">
        <v>22.84</v>
      </c>
      <c r="I1803">
        <v>10</v>
      </c>
      <c r="M1803">
        <v>4</v>
      </c>
      <c r="N1803">
        <v>0</v>
      </c>
      <c r="O1803">
        <v>0</v>
      </c>
      <c r="P1803">
        <v>36.84</v>
      </c>
      <c r="Q1803">
        <v>0</v>
      </c>
      <c r="R1803">
        <v>0</v>
      </c>
      <c r="S1803">
        <v>9</v>
      </c>
      <c r="T1803">
        <v>0</v>
      </c>
      <c r="U1803" s="1">
        <v>0</v>
      </c>
      <c r="V1803">
        <v>45.84</v>
      </c>
    </row>
    <row r="1804" spans="1:22" ht="15">
      <c r="A1804" s="4">
        <v>1797</v>
      </c>
      <c r="B1804">
        <v>382</v>
      </c>
      <c r="C1804" t="s">
        <v>3988</v>
      </c>
      <c r="D1804" t="s">
        <v>89</v>
      </c>
      <c r="E1804" t="s">
        <v>90</v>
      </c>
      <c r="F1804" t="s">
        <v>3989</v>
      </c>
      <c r="G1804" t="str">
        <f>"00417557"</f>
        <v>00417557</v>
      </c>
      <c r="H1804">
        <v>28.8</v>
      </c>
      <c r="I1804">
        <v>10</v>
      </c>
      <c r="M1804">
        <v>4</v>
      </c>
      <c r="N1804">
        <v>0</v>
      </c>
      <c r="O1804">
        <v>0</v>
      </c>
      <c r="P1804">
        <v>42.8</v>
      </c>
      <c r="Q1804">
        <v>0</v>
      </c>
      <c r="R1804">
        <v>0</v>
      </c>
      <c r="S1804">
        <v>3</v>
      </c>
      <c r="T1804">
        <v>0</v>
      </c>
      <c r="U1804" s="1">
        <v>0</v>
      </c>
      <c r="V1804">
        <v>45.8</v>
      </c>
    </row>
    <row r="1805" spans="1:22" ht="15">
      <c r="A1805" s="4">
        <v>1798</v>
      </c>
      <c r="B1805">
        <v>2450</v>
      </c>
      <c r="C1805" t="s">
        <v>3990</v>
      </c>
      <c r="D1805" t="s">
        <v>14</v>
      </c>
      <c r="E1805" t="s">
        <v>3991</v>
      </c>
      <c r="F1805">
        <v>335596</v>
      </c>
      <c r="G1805" t="str">
        <f>"00471888"</f>
        <v>00471888</v>
      </c>
      <c r="H1805">
        <v>28.8</v>
      </c>
      <c r="I1805">
        <v>10</v>
      </c>
      <c r="M1805">
        <v>4</v>
      </c>
      <c r="N1805">
        <v>0</v>
      </c>
      <c r="O1805">
        <v>0</v>
      </c>
      <c r="P1805">
        <v>42.8</v>
      </c>
      <c r="Q1805">
        <v>0</v>
      </c>
      <c r="R1805">
        <v>0</v>
      </c>
      <c r="S1805">
        <v>3</v>
      </c>
      <c r="T1805">
        <v>0</v>
      </c>
      <c r="U1805" s="1">
        <v>0</v>
      </c>
      <c r="V1805">
        <v>45.8</v>
      </c>
    </row>
    <row r="1806" spans="1:22" ht="15">
      <c r="A1806" s="4">
        <v>1799</v>
      </c>
      <c r="B1806">
        <v>682</v>
      </c>
      <c r="C1806" t="s">
        <v>3992</v>
      </c>
      <c r="D1806" t="s">
        <v>127</v>
      </c>
      <c r="E1806" t="s">
        <v>23</v>
      </c>
      <c r="F1806" t="s">
        <v>3993</v>
      </c>
      <c r="G1806" t="str">
        <f>"201511028546"</f>
        <v>201511028546</v>
      </c>
      <c r="H1806">
        <v>38.8</v>
      </c>
      <c r="I1806">
        <v>0</v>
      </c>
      <c r="M1806">
        <v>4</v>
      </c>
      <c r="N1806">
        <v>0</v>
      </c>
      <c r="O1806">
        <v>0</v>
      </c>
      <c r="P1806">
        <v>42.8</v>
      </c>
      <c r="Q1806">
        <v>0</v>
      </c>
      <c r="R1806">
        <v>0</v>
      </c>
      <c r="S1806">
        <v>3</v>
      </c>
      <c r="T1806">
        <v>0</v>
      </c>
      <c r="U1806" s="1">
        <v>0</v>
      </c>
      <c r="V1806">
        <v>45.8</v>
      </c>
    </row>
    <row r="1807" spans="1:22" ht="15">
      <c r="A1807" s="4">
        <v>1800</v>
      </c>
      <c r="B1807">
        <v>3148</v>
      </c>
      <c r="C1807" t="s">
        <v>3994</v>
      </c>
      <c r="D1807" t="s">
        <v>124</v>
      </c>
      <c r="E1807" t="s">
        <v>11</v>
      </c>
      <c r="F1807" t="s">
        <v>3995</v>
      </c>
      <c r="G1807" t="str">
        <f>"201512000648"</f>
        <v>201512000648</v>
      </c>
      <c r="H1807">
        <v>25.8</v>
      </c>
      <c r="I1807">
        <v>10</v>
      </c>
      <c r="M1807">
        <v>4</v>
      </c>
      <c r="N1807">
        <v>0</v>
      </c>
      <c r="O1807">
        <v>0</v>
      </c>
      <c r="P1807">
        <v>39.8</v>
      </c>
      <c r="Q1807">
        <v>0</v>
      </c>
      <c r="R1807">
        <v>0</v>
      </c>
      <c r="S1807">
        <v>6</v>
      </c>
      <c r="T1807">
        <v>0</v>
      </c>
      <c r="U1807" s="1">
        <v>0</v>
      </c>
      <c r="V1807">
        <v>45.8</v>
      </c>
    </row>
    <row r="1808" spans="1:22" ht="15">
      <c r="A1808" s="4">
        <v>1801</v>
      </c>
      <c r="B1808">
        <v>1085</v>
      </c>
      <c r="C1808" t="s">
        <v>148</v>
      </c>
      <c r="D1808" t="s">
        <v>89</v>
      </c>
      <c r="E1808" t="s">
        <v>672</v>
      </c>
      <c r="F1808" t="s">
        <v>3996</v>
      </c>
      <c r="G1808" t="str">
        <f>"00093463"</f>
        <v>00093463</v>
      </c>
      <c r="H1808">
        <v>24.72</v>
      </c>
      <c r="I1808">
        <v>0</v>
      </c>
      <c r="M1808">
        <v>4</v>
      </c>
      <c r="N1808">
        <v>0</v>
      </c>
      <c r="O1808">
        <v>0</v>
      </c>
      <c r="P1808">
        <v>28.72</v>
      </c>
      <c r="Q1808">
        <v>8</v>
      </c>
      <c r="R1808">
        <v>8</v>
      </c>
      <c r="S1808">
        <v>9</v>
      </c>
      <c r="T1808">
        <v>0</v>
      </c>
      <c r="U1808" s="1">
        <v>0</v>
      </c>
      <c r="V1808">
        <v>45.72</v>
      </c>
    </row>
    <row r="1809" spans="1:22" ht="15">
      <c r="A1809" s="4">
        <v>1802</v>
      </c>
      <c r="B1809">
        <v>2981</v>
      </c>
      <c r="C1809" t="s">
        <v>3997</v>
      </c>
      <c r="D1809" t="s">
        <v>643</v>
      </c>
      <c r="E1809" t="s">
        <v>134</v>
      </c>
      <c r="F1809" t="s">
        <v>3998</v>
      </c>
      <c r="G1809" t="str">
        <f>"00326448"</f>
        <v>00326448</v>
      </c>
      <c r="H1809">
        <v>38.68</v>
      </c>
      <c r="I1809">
        <v>0</v>
      </c>
      <c r="M1809">
        <v>4</v>
      </c>
      <c r="N1809">
        <v>0</v>
      </c>
      <c r="O1809">
        <v>0</v>
      </c>
      <c r="P1809">
        <v>42.68</v>
      </c>
      <c r="Q1809">
        <v>0</v>
      </c>
      <c r="R1809">
        <v>0</v>
      </c>
      <c r="S1809">
        <v>3</v>
      </c>
      <c r="T1809">
        <v>0</v>
      </c>
      <c r="U1809" s="1">
        <v>0</v>
      </c>
      <c r="V1809">
        <v>45.68</v>
      </c>
    </row>
    <row r="1810" spans="1:22" ht="15">
      <c r="A1810" s="4">
        <v>1803</v>
      </c>
      <c r="B1810">
        <v>3070</v>
      </c>
      <c r="C1810" t="s">
        <v>3999</v>
      </c>
      <c r="D1810" t="s">
        <v>124</v>
      </c>
      <c r="E1810" t="s">
        <v>15</v>
      </c>
      <c r="F1810" t="s">
        <v>4000</v>
      </c>
      <c r="G1810" t="str">
        <f>"00531824"</f>
        <v>00531824</v>
      </c>
      <c r="H1810">
        <v>32.6</v>
      </c>
      <c r="I1810">
        <v>0</v>
      </c>
      <c r="M1810">
        <v>4</v>
      </c>
      <c r="N1810">
        <v>0</v>
      </c>
      <c r="O1810">
        <v>0</v>
      </c>
      <c r="P1810">
        <v>36.6</v>
      </c>
      <c r="Q1810">
        <v>0</v>
      </c>
      <c r="R1810">
        <v>0</v>
      </c>
      <c r="S1810">
        <v>9</v>
      </c>
      <c r="T1810">
        <v>0</v>
      </c>
      <c r="U1810" s="1">
        <v>0</v>
      </c>
      <c r="V1810">
        <v>45.6</v>
      </c>
    </row>
    <row r="1811" spans="1:22" ht="15">
      <c r="A1811" s="4">
        <v>1804</v>
      </c>
      <c r="B1811">
        <v>939</v>
      </c>
      <c r="C1811" t="s">
        <v>4001</v>
      </c>
      <c r="D1811" t="s">
        <v>26</v>
      </c>
      <c r="E1811" t="s">
        <v>15</v>
      </c>
      <c r="F1811" t="s">
        <v>4002</v>
      </c>
      <c r="G1811" t="str">
        <f>"00161919"</f>
        <v>00161919</v>
      </c>
      <c r="H1811">
        <v>21.6</v>
      </c>
      <c r="I1811">
        <v>0</v>
      </c>
      <c r="M1811">
        <v>4</v>
      </c>
      <c r="N1811">
        <v>0</v>
      </c>
      <c r="O1811">
        <v>0</v>
      </c>
      <c r="P1811">
        <v>25.6</v>
      </c>
      <c r="Q1811">
        <v>20</v>
      </c>
      <c r="R1811">
        <v>20</v>
      </c>
      <c r="S1811">
        <v>0</v>
      </c>
      <c r="T1811">
        <v>0</v>
      </c>
      <c r="U1811" s="1" t="s">
        <v>6251</v>
      </c>
      <c r="V1811">
        <v>45.6</v>
      </c>
    </row>
    <row r="1812" spans="1:22" ht="15">
      <c r="A1812" s="4">
        <v>1805</v>
      </c>
      <c r="B1812">
        <v>2399</v>
      </c>
      <c r="C1812" t="s">
        <v>4003</v>
      </c>
      <c r="D1812" t="s">
        <v>124</v>
      </c>
      <c r="E1812" t="s">
        <v>15</v>
      </c>
      <c r="F1812" t="s">
        <v>4004</v>
      </c>
      <c r="G1812" t="str">
        <f>"00442451"</f>
        <v>00442451</v>
      </c>
      <c r="H1812">
        <v>21.6</v>
      </c>
      <c r="I1812">
        <v>10</v>
      </c>
      <c r="L1812">
        <v>4</v>
      </c>
      <c r="M1812">
        <v>4</v>
      </c>
      <c r="N1812">
        <v>4</v>
      </c>
      <c r="O1812">
        <v>0</v>
      </c>
      <c r="P1812">
        <v>39.6</v>
      </c>
      <c r="Q1812">
        <v>0</v>
      </c>
      <c r="R1812">
        <v>0</v>
      </c>
      <c r="S1812">
        <v>6</v>
      </c>
      <c r="T1812">
        <v>0</v>
      </c>
      <c r="U1812" s="1">
        <v>0</v>
      </c>
      <c r="V1812">
        <v>45.6</v>
      </c>
    </row>
    <row r="1813" spans="1:22" ht="15">
      <c r="A1813" s="4">
        <v>1806</v>
      </c>
      <c r="B1813">
        <v>2563</v>
      </c>
      <c r="C1813" t="s">
        <v>1840</v>
      </c>
      <c r="D1813" t="s">
        <v>89</v>
      </c>
      <c r="E1813" t="s">
        <v>90</v>
      </c>
      <c r="F1813" t="s">
        <v>4005</v>
      </c>
      <c r="G1813" t="str">
        <f>"00532642"</f>
        <v>00532642</v>
      </c>
      <c r="H1813">
        <v>39.56</v>
      </c>
      <c r="I1813">
        <v>0</v>
      </c>
      <c r="M1813">
        <v>0</v>
      </c>
      <c r="N1813">
        <v>0</v>
      </c>
      <c r="O1813">
        <v>0</v>
      </c>
      <c r="P1813">
        <v>39.56</v>
      </c>
      <c r="Q1813">
        <v>0</v>
      </c>
      <c r="R1813">
        <v>0</v>
      </c>
      <c r="S1813">
        <v>6</v>
      </c>
      <c r="T1813">
        <v>0</v>
      </c>
      <c r="U1813" s="1">
        <v>0</v>
      </c>
      <c r="V1813">
        <v>45.56</v>
      </c>
    </row>
    <row r="1814" spans="1:22" ht="15">
      <c r="A1814" s="4">
        <v>1807</v>
      </c>
      <c r="B1814">
        <v>474</v>
      </c>
      <c r="C1814" t="s">
        <v>2735</v>
      </c>
      <c r="D1814" t="s">
        <v>89</v>
      </c>
      <c r="E1814" t="s">
        <v>403</v>
      </c>
      <c r="F1814" t="s">
        <v>4006</v>
      </c>
      <c r="G1814" t="str">
        <f>"00498354"</f>
        <v>00498354</v>
      </c>
      <c r="H1814">
        <v>35.48</v>
      </c>
      <c r="I1814">
        <v>0</v>
      </c>
      <c r="M1814">
        <v>4</v>
      </c>
      <c r="N1814">
        <v>0</v>
      </c>
      <c r="O1814">
        <v>0</v>
      </c>
      <c r="P1814">
        <v>39.48</v>
      </c>
      <c r="Q1814">
        <v>0</v>
      </c>
      <c r="R1814">
        <v>0</v>
      </c>
      <c r="S1814">
        <v>6</v>
      </c>
      <c r="T1814">
        <v>0</v>
      </c>
      <c r="U1814" s="1">
        <v>0</v>
      </c>
      <c r="V1814">
        <v>45.48</v>
      </c>
    </row>
    <row r="1815" spans="1:22" ht="15">
      <c r="A1815" s="4">
        <v>1808</v>
      </c>
      <c r="B1815">
        <v>806</v>
      </c>
      <c r="C1815" t="s">
        <v>4007</v>
      </c>
      <c r="D1815" t="s">
        <v>76</v>
      </c>
      <c r="E1815" t="s">
        <v>90</v>
      </c>
      <c r="F1815" t="s">
        <v>4008</v>
      </c>
      <c r="G1815" t="str">
        <f>"00530384"</f>
        <v>00530384</v>
      </c>
      <c r="H1815">
        <v>36.44</v>
      </c>
      <c r="I1815">
        <v>0</v>
      </c>
      <c r="M1815">
        <v>0</v>
      </c>
      <c r="N1815">
        <v>0</v>
      </c>
      <c r="O1815">
        <v>0</v>
      </c>
      <c r="P1815">
        <v>36.44</v>
      </c>
      <c r="Q1815">
        <v>0</v>
      </c>
      <c r="R1815">
        <v>0</v>
      </c>
      <c r="S1815">
        <v>9</v>
      </c>
      <c r="T1815">
        <v>0</v>
      </c>
      <c r="U1815" s="1">
        <v>0</v>
      </c>
      <c r="V1815">
        <v>45.44</v>
      </c>
    </row>
    <row r="1816" spans="1:22" ht="15">
      <c r="A1816" s="4">
        <v>1809</v>
      </c>
      <c r="B1816">
        <v>1192</v>
      </c>
      <c r="C1816" t="s">
        <v>948</v>
      </c>
      <c r="D1816" t="s">
        <v>4009</v>
      </c>
      <c r="E1816" t="s">
        <v>73</v>
      </c>
      <c r="F1816" t="s">
        <v>4010</v>
      </c>
      <c r="G1816" t="str">
        <f>"00511259"</f>
        <v>00511259</v>
      </c>
      <c r="H1816">
        <v>18.4</v>
      </c>
      <c r="I1816">
        <v>10</v>
      </c>
      <c r="J1816">
        <v>8</v>
      </c>
      <c r="M1816">
        <v>4</v>
      </c>
      <c r="N1816">
        <v>8</v>
      </c>
      <c r="O1816">
        <v>2</v>
      </c>
      <c r="P1816">
        <v>42.4</v>
      </c>
      <c r="Q1816">
        <v>0</v>
      </c>
      <c r="R1816">
        <v>0</v>
      </c>
      <c r="S1816">
        <v>3</v>
      </c>
      <c r="T1816">
        <v>0</v>
      </c>
      <c r="U1816" s="1">
        <v>0</v>
      </c>
      <c r="V1816">
        <v>45.4</v>
      </c>
    </row>
    <row r="1817" spans="1:22" ht="15">
      <c r="A1817" s="4">
        <v>1810</v>
      </c>
      <c r="B1817">
        <v>1422</v>
      </c>
      <c r="C1817" t="s">
        <v>962</v>
      </c>
      <c r="D1817" t="s">
        <v>26</v>
      </c>
      <c r="E1817" t="s">
        <v>19</v>
      </c>
      <c r="F1817" t="s">
        <v>4011</v>
      </c>
      <c r="G1817" t="str">
        <f>"00531795"</f>
        <v>00531795</v>
      </c>
      <c r="H1817">
        <v>14.4</v>
      </c>
      <c r="I1817">
        <v>10</v>
      </c>
      <c r="M1817">
        <v>4</v>
      </c>
      <c r="N1817">
        <v>0</v>
      </c>
      <c r="O1817">
        <v>0</v>
      </c>
      <c r="P1817">
        <v>28.4</v>
      </c>
      <c r="Q1817">
        <v>17</v>
      </c>
      <c r="R1817">
        <v>17</v>
      </c>
      <c r="S1817">
        <v>0</v>
      </c>
      <c r="T1817">
        <v>0</v>
      </c>
      <c r="U1817" s="1">
        <v>0</v>
      </c>
      <c r="V1817">
        <v>45.4</v>
      </c>
    </row>
    <row r="1818" spans="1:22" ht="15">
      <c r="A1818" s="4">
        <v>1811</v>
      </c>
      <c r="B1818">
        <v>2635</v>
      </c>
      <c r="C1818" t="s">
        <v>4012</v>
      </c>
      <c r="D1818" t="s">
        <v>640</v>
      </c>
      <c r="E1818" t="s">
        <v>90</v>
      </c>
      <c r="F1818" t="s">
        <v>4013</v>
      </c>
      <c r="G1818" t="str">
        <f>"00528380"</f>
        <v>00528380</v>
      </c>
      <c r="H1818">
        <v>31.4</v>
      </c>
      <c r="I1818">
        <v>10</v>
      </c>
      <c r="M1818">
        <v>4</v>
      </c>
      <c r="N1818">
        <v>0</v>
      </c>
      <c r="O1818">
        <v>0</v>
      </c>
      <c r="P1818">
        <v>45.4</v>
      </c>
      <c r="Q1818">
        <v>0</v>
      </c>
      <c r="R1818">
        <v>0</v>
      </c>
      <c r="S1818">
        <v>0</v>
      </c>
      <c r="T1818">
        <v>0</v>
      </c>
      <c r="U1818" s="1">
        <v>0</v>
      </c>
      <c r="V1818">
        <v>45.4</v>
      </c>
    </row>
    <row r="1819" spans="1:22" ht="15">
      <c r="A1819" s="4">
        <v>1812</v>
      </c>
      <c r="B1819">
        <v>2026</v>
      </c>
      <c r="C1819" t="s">
        <v>4014</v>
      </c>
      <c r="D1819" t="s">
        <v>4015</v>
      </c>
      <c r="E1819" t="s">
        <v>528</v>
      </c>
      <c r="F1819" t="s">
        <v>4016</v>
      </c>
      <c r="G1819" t="str">
        <f>"00442384"</f>
        <v>00442384</v>
      </c>
      <c r="H1819">
        <v>14.4</v>
      </c>
      <c r="I1819">
        <v>0</v>
      </c>
      <c r="M1819">
        <v>0</v>
      </c>
      <c r="N1819">
        <v>0</v>
      </c>
      <c r="O1819">
        <v>0</v>
      </c>
      <c r="P1819">
        <v>14.4</v>
      </c>
      <c r="Q1819">
        <v>25</v>
      </c>
      <c r="R1819">
        <v>25</v>
      </c>
      <c r="S1819">
        <v>6</v>
      </c>
      <c r="T1819">
        <v>0</v>
      </c>
      <c r="U1819" s="1">
        <v>0</v>
      </c>
      <c r="V1819">
        <v>45.4</v>
      </c>
    </row>
    <row r="1820" spans="1:22" ht="15">
      <c r="A1820" s="4">
        <v>1813</v>
      </c>
      <c r="B1820">
        <v>406</v>
      </c>
      <c r="C1820" t="s">
        <v>4017</v>
      </c>
      <c r="D1820" t="s">
        <v>580</v>
      </c>
      <c r="E1820" t="s">
        <v>73</v>
      </c>
      <c r="F1820" t="s">
        <v>4018</v>
      </c>
      <c r="G1820" t="str">
        <f>"200802003962"</f>
        <v>200802003962</v>
      </c>
      <c r="H1820">
        <v>33.32</v>
      </c>
      <c r="I1820">
        <v>0</v>
      </c>
      <c r="M1820">
        <v>4</v>
      </c>
      <c r="N1820">
        <v>0</v>
      </c>
      <c r="O1820">
        <v>0</v>
      </c>
      <c r="P1820">
        <v>37.32</v>
      </c>
      <c r="Q1820">
        <v>5</v>
      </c>
      <c r="R1820">
        <v>5</v>
      </c>
      <c r="S1820">
        <v>3</v>
      </c>
      <c r="T1820">
        <v>0</v>
      </c>
      <c r="U1820" s="1">
        <v>0</v>
      </c>
      <c r="V1820">
        <v>45.32</v>
      </c>
    </row>
    <row r="1821" spans="1:22" ht="15">
      <c r="A1821" s="4">
        <v>1814</v>
      </c>
      <c r="B1821">
        <v>2018</v>
      </c>
      <c r="C1821" t="s">
        <v>4019</v>
      </c>
      <c r="D1821" t="s">
        <v>1686</v>
      </c>
      <c r="E1821" t="s">
        <v>11</v>
      </c>
      <c r="F1821" t="s">
        <v>4020</v>
      </c>
      <c r="G1821" t="str">
        <f>"00039280"</f>
        <v>00039280</v>
      </c>
      <c r="H1821">
        <v>29.32</v>
      </c>
      <c r="I1821">
        <v>0</v>
      </c>
      <c r="M1821">
        <v>4</v>
      </c>
      <c r="N1821">
        <v>0</v>
      </c>
      <c r="O1821">
        <v>0</v>
      </c>
      <c r="P1821">
        <v>33.32</v>
      </c>
      <c r="Q1821">
        <v>6</v>
      </c>
      <c r="R1821">
        <v>6</v>
      </c>
      <c r="S1821">
        <v>6</v>
      </c>
      <c r="T1821">
        <v>0</v>
      </c>
      <c r="U1821" s="1">
        <v>0</v>
      </c>
      <c r="V1821">
        <v>45.32</v>
      </c>
    </row>
    <row r="1822" spans="1:22" ht="15">
      <c r="A1822" s="4">
        <v>1815</v>
      </c>
      <c r="B1822">
        <v>762</v>
      </c>
      <c r="C1822" t="s">
        <v>4021</v>
      </c>
      <c r="D1822" t="s">
        <v>127</v>
      </c>
      <c r="E1822" t="s">
        <v>90</v>
      </c>
      <c r="F1822" t="s">
        <v>4022</v>
      </c>
      <c r="G1822" t="str">
        <f>"00502471"</f>
        <v>00502471</v>
      </c>
      <c r="H1822">
        <v>30.24</v>
      </c>
      <c r="I1822">
        <v>0</v>
      </c>
      <c r="M1822">
        <v>0</v>
      </c>
      <c r="N1822">
        <v>0</v>
      </c>
      <c r="O1822">
        <v>0</v>
      </c>
      <c r="P1822">
        <v>30.24</v>
      </c>
      <c r="Q1822">
        <v>9</v>
      </c>
      <c r="R1822">
        <v>9</v>
      </c>
      <c r="S1822">
        <v>6</v>
      </c>
      <c r="T1822">
        <v>0</v>
      </c>
      <c r="U1822" s="1">
        <v>0</v>
      </c>
      <c r="V1822">
        <v>45.24</v>
      </c>
    </row>
    <row r="1823" spans="1:22" ht="15">
      <c r="A1823" s="4">
        <v>1816</v>
      </c>
      <c r="B1823">
        <v>2759</v>
      </c>
      <c r="C1823" t="s">
        <v>4023</v>
      </c>
      <c r="D1823" t="s">
        <v>121</v>
      </c>
      <c r="E1823" t="s">
        <v>30</v>
      </c>
      <c r="F1823" t="s">
        <v>4024</v>
      </c>
      <c r="G1823" t="str">
        <f>"00033353"</f>
        <v>00033353</v>
      </c>
      <c r="H1823">
        <v>35.2</v>
      </c>
      <c r="I1823">
        <v>0</v>
      </c>
      <c r="M1823">
        <v>4</v>
      </c>
      <c r="N1823">
        <v>0</v>
      </c>
      <c r="O1823">
        <v>0</v>
      </c>
      <c r="P1823">
        <v>39.2</v>
      </c>
      <c r="Q1823">
        <v>0</v>
      </c>
      <c r="R1823">
        <v>0</v>
      </c>
      <c r="S1823">
        <v>6</v>
      </c>
      <c r="T1823">
        <v>0</v>
      </c>
      <c r="U1823" s="1">
        <v>0</v>
      </c>
      <c r="V1823">
        <v>45.2</v>
      </c>
    </row>
    <row r="1824" spans="1:22" ht="15">
      <c r="A1824" s="4">
        <v>1817</v>
      </c>
      <c r="B1824">
        <v>2968</v>
      </c>
      <c r="C1824" t="s">
        <v>4025</v>
      </c>
      <c r="D1824" t="s">
        <v>4026</v>
      </c>
      <c r="E1824" t="s">
        <v>73</v>
      </c>
      <c r="F1824" t="s">
        <v>4027</v>
      </c>
      <c r="G1824" t="str">
        <f>"00492832"</f>
        <v>00492832</v>
      </c>
      <c r="H1824">
        <v>7.2</v>
      </c>
      <c r="I1824">
        <v>0</v>
      </c>
      <c r="K1824">
        <v>6</v>
      </c>
      <c r="M1824">
        <v>4</v>
      </c>
      <c r="N1824">
        <v>6</v>
      </c>
      <c r="O1824">
        <v>0</v>
      </c>
      <c r="P1824">
        <v>17.2</v>
      </c>
      <c r="Q1824">
        <v>28</v>
      </c>
      <c r="R1824">
        <v>28</v>
      </c>
      <c r="S1824">
        <v>0</v>
      </c>
      <c r="T1824">
        <v>0</v>
      </c>
      <c r="U1824" s="1">
        <v>0</v>
      </c>
      <c r="V1824">
        <v>45.2</v>
      </c>
    </row>
    <row r="1825" spans="1:22" ht="15">
      <c r="A1825" s="4">
        <v>1818</v>
      </c>
      <c r="B1825">
        <v>2069</v>
      </c>
      <c r="C1825" t="s">
        <v>2814</v>
      </c>
      <c r="D1825" t="s">
        <v>339</v>
      </c>
      <c r="E1825" t="s">
        <v>11</v>
      </c>
      <c r="F1825" t="s">
        <v>4028</v>
      </c>
      <c r="G1825" t="str">
        <f>"201511027344"</f>
        <v>201511027344</v>
      </c>
      <c r="H1825">
        <v>7.2</v>
      </c>
      <c r="I1825">
        <v>0</v>
      </c>
      <c r="L1825">
        <v>4</v>
      </c>
      <c r="M1825">
        <v>4</v>
      </c>
      <c r="N1825">
        <v>4</v>
      </c>
      <c r="O1825">
        <v>0</v>
      </c>
      <c r="P1825">
        <v>15.2</v>
      </c>
      <c r="Q1825">
        <v>24</v>
      </c>
      <c r="R1825">
        <v>24</v>
      </c>
      <c r="S1825">
        <v>6</v>
      </c>
      <c r="T1825">
        <v>0</v>
      </c>
      <c r="U1825" s="1">
        <v>0</v>
      </c>
      <c r="V1825">
        <v>45.2</v>
      </c>
    </row>
    <row r="1826" spans="1:22" ht="15">
      <c r="A1826" s="4">
        <v>1819</v>
      </c>
      <c r="B1826">
        <v>1914</v>
      </c>
      <c r="C1826" t="s">
        <v>4029</v>
      </c>
      <c r="D1826" t="s">
        <v>14</v>
      </c>
      <c r="E1826" t="s">
        <v>1138</v>
      </c>
      <c r="F1826" t="s">
        <v>4030</v>
      </c>
      <c r="G1826" t="str">
        <f>"00441741"</f>
        <v>00441741</v>
      </c>
      <c r="H1826">
        <v>24</v>
      </c>
      <c r="I1826">
        <v>10</v>
      </c>
      <c r="M1826">
        <v>0</v>
      </c>
      <c r="N1826">
        <v>0</v>
      </c>
      <c r="O1826">
        <v>0</v>
      </c>
      <c r="P1826">
        <v>34</v>
      </c>
      <c r="Q1826">
        <v>5</v>
      </c>
      <c r="R1826">
        <v>5</v>
      </c>
      <c r="S1826">
        <v>6</v>
      </c>
      <c r="T1826">
        <v>0</v>
      </c>
      <c r="U1826" s="1">
        <v>0</v>
      </c>
      <c r="V1826">
        <v>45</v>
      </c>
    </row>
    <row r="1827" spans="1:22" ht="15">
      <c r="A1827" s="4">
        <v>1820</v>
      </c>
      <c r="B1827">
        <v>539</v>
      </c>
      <c r="C1827" t="s">
        <v>4031</v>
      </c>
      <c r="D1827" t="s">
        <v>4032</v>
      </c>
      <c r="E1827" t="s">
        <v>23</v>
      </c>
      <c r="F1827" t="s">
        <v>4033</v>
      </c>
      <c r="G1827" t="str">
        <f>"201412000140"</f>
        <v>201412000140</v>
      </c>
      <c r="H1827">
        <v>32</v>
      </c>
      <c r="I1827">
        <v>0</v>
      </c>
      <c r="M1827">
        <v>4</v>
      </c>
      <c r="N1827">
        <v>0</v>
      </c>
      <c r="O1827">
        <v>0</v>
      </c>
      <c r="P1827">
        <v>36</v>
      </c>
      <c r="Q1827">
        <v>6</v>
      </c>
      <c r="R1827">
        <v>6</v>
      </c>
      <c r="S1827">
        <v>3</v>
      </c>
      <c r="T1827">
        <v>0</v>
      </c>
      <c r="U1827" s="1">
        <v>0</v>
      </c>
      <c r="V1827">
        <v>45</v>
      </c>
    </row>
    <row r="1828" spans="1:22" ht="15">
      <c r="A1828" s="4">
        <v>1821</v>
      </c>
      <c r="B1828">
        <v>1110</v>
      </c>
      <c r="C1828" t="s">
        <v>4034</v>
      </c>
      <c r="D1828" t="s">
        <v>363</v>
      </c>
      <c r="E1828" t="s">
        <v>403</v>
      </c>
      <c r="F1828" t="s">
        <v>4035</v>
      </c>
      <c r="G1828" t="str">
        <f>"201411002536"</f>
        <v>201411002536</v>
      </c>
      <c r="H1828">
        <v>36</v>
      </c>
      <c r="I1828">
        <v>0</v>
      </c>
      <c r="M1828">
        <v>4</v>
      </c>
      <c r="N1828">
        <v>0</v>
      </c>
      <c r="O1828">
        <v>2</v>
      </c>
      <c r="P1828">
        <v>42</v>
      </c>
      <c r="Q1828">
        <v>0</v>
      </c>
      <c r="R1828">
        <v>0</v>
      </c>
      <c r="S1828">
        <v>3</v>
      </c>
      <c r="T1828">
        <v>0</v>
      </c>
      <c r="U1828" s="1">
        <v>0</v>
      </c>
      <c r="V1828">
        <v>45</v>
      </c>
    </row>
    <row r="1829" spans="1:22" ht="15">
      <c r="A1829" s="4">
        <v>1822</v>
      </c>
      <c r="B1829">
        <v>1586</v>
      </c>
      <c r="C1829" t="s">
        <v>4036</v>
      </c>
      <c r="D1829" t="s">
        <v>68</v>
      </c>
      <c r="E1829" t="s">
        <v>4037</v>
      </c>
      <c r="F1829" t="s">
        <v>4038</v>
      </c>
      <c r="G1829" t="str">
        <f>"00515798"</f>
        <v>00515798</v>
      </c>
      <c r="H1829">
        <v>36</v>
      </c>
      <c r="I1829">
        <v>0</v>
      </c>
      <c r="L1829">
        <v>4</v>
      </c>
      <c r="M1829">
        <v>4</v>
      </c>
      <c r="N1829">
        <v>4</v>
      </c>
      <c r="O1829">
        <v>0</v>
      </c>
      <c r="P1829">
        <v>44</v>
      </c>
      <c r="Q1829">
        <v>1</v>
      </c>
      <c r="R1829">
        <v>1</v>
      </c>
      <c r="S1829">
        <v>0</v>
      </c>
      <c r="T1829">
        <v>0</v>
      </c>
      <c r="U1829" s="1">
        <v>0</v>
      </c>
      <c r="V1829">
        <v>45</v>
      </c>
    </row>
    <row r="1830" spans="1:22" ht="15">
      <c r="A1830" s="4">
        <v>1823</v>
      </c>
      <c r="B1830">
        <v>2835</v>
      </c>
      <c r="C1830" t="s">
        <v>4039</v>
      </c>
      <c r="D1830" t="s">
        <v>4040</v>
      </c>
      <c r="E1830" t="s">
        <v>4041</v>
      </c>
      <c r="F1830" t="s">
        <v>4042</v>
      </c>
      <c r="G1830" t="str">
        <f>"00269574"</f>
        <v>00269574</v>
      </c>
      <c r="H1830">
        <v>34.92</v>
      </c>
      <c r="I1830">
        <v>0</v>
      </c>
      <c r="L1830">
        <v>4</v>
      </c>
      <c r="M1830">
        <v>0</v>
      </c>
      <c r="N1830">
        <v>4</v>
      </c>
      <c r="O1830">
        <v>0</v>
      </c>
      <c r="P1830">
        <v>38.92</v>
      </c>
      <c r="Q1830">
        <v>0</v>
      </c>
      <c r="R1830">
        <v>0</v>
      </c>
      <c r="S1830">
        <v>6</v>
      </c>
      <c r="T1830">
        <v>0</v>
      </c>
      <c r="U1830" s="1">
        <v>0</v>
      </c>
      <c r="V1830">
        <v>44.92</v>
      </c>
    </row>
    <row r="1831" spans="1:22" ht="15">
      <c r="A1831" s="4">
        <v>1824</v>
      </c>
      <c r="B1831">
        <v>2980</v>
      </c>
      <c r="C1831" t="s">
        <v>2315</v>
      </c>
      <c r="D1831" t="s">
        <v>1199</v>
      </c>
      <c r="E1831" t="s">
        <v>201</v>
      </c>
      <c r="F1831" t="s">
        <v>4043</v>
      </c>
      <c r="G1831" t="str">
        <f>"00531040"</f>
        <v>00531040</v>
      </c>
      <c r="H1831">
        <v>30.92</v>
      </c>
      <c r="I1831">
        <v>0</v>
      </c>
      <c r="L1831">
        <v>4</v>
      </c>
      <c r="M1831">
        <v>4</v>
      </c>
      <c r="N1831">
        <v>4</v>
      </c>
      <c r="O1831">
        <v>0</v>
      </c>
      <c r="P1831">
        <v>38.92</v>
      </c>
      <c r="Q1831">
        <v>0</v>
      </c>
      <c r="R1831">
        <v>0</v>
      </c>
      <c r="S1831">
        <v>6</v>
      </c>
      <c r="T1831">
        <v>0</v>
      </c>
      <c r="U1831" s="1">
        <v>0</v>
      </c>
      <c r="V1831">
        <v>44.92</v>
      </c>
    </row>
    <row r="1832" spans="1:22" ht="15">
      <c r="A1832" s="4">
        <v>1825</v>
      </c>
      <c r="B1832">
        <v>3086</v>
      </c>
      <c r="C1832" t="s">
        <v>4044</v>
      </c>
      <c r="D1832" t="s">
        <v>232</v>
      </c>
      <c r="E1832" t="s">
        <v>83</v>
      </c>
      <c r="F1832" t="s">
        <v>4045</v>
      </c>
      <c r="G1832" t="str">
        <f>"00533491"</f>
        <v>00533491</v>
      </c>
      <c r="H1832">
        <v>18.84</v>
      </c>
      <c r="I1832">
        <v>10</v>
      </c>
      <c r="M1832">
        <v>4</v>
      </c>
      <c r="N1832">
        <v>0</v>
      </c>
      <c r="O1832">
        <v>0</v>
      </c>
      <c r="P1832">
        <v>32.84</v>
      </c>
      <c r="Q1832">
        <v>6</v>
      </c>
      <c r="R1832">
        <v>6</v>
      </c>
      <c r="S1832">
        <v>6</v>
      </c>
      <c r="T1832">
        <v>0</v>
      </c>
      <c r="U1832" s="1">
        <v>0</v>
      </c>
      <c r="V1832">
        <v>44.84</v>
      </c>
    </row>
    <row r="1833" spans="1:22" ht="15">
      <c r="A1833" s="4">
        <v>1826</v>
      </c>
      <c r="B1833">
        <v>2827</v>
      </c>
      <c r="C1833" t="s">
        <v>4046</v>
      </c>
      <c r="D1833" t="s">
        <v>29</v>
      </c>
      <c r="E1833" t="s">
        <v>23</v>
      </c>
      <c r="F1833" t="s">
        <v>4047</v>
      </c>
      <c r="G1833" t="str">
        <f>"201412000315"</f>
        <v>201412000315</v>
      </c>
      <c r="H1833">
        <v>36.8</v>
      </c>
      <c r="I1833">
        <v>0</v>
      </c>
      <c r="L1833">
        <v>4</v>
      </c>
      <c r="M1833">
        <v>4</v>
      </c>
      <c r="N1833">
        <v>4</v>
      </c>
      <c r="O1833">
        <v>0</v>
      </c>
      <c r="P1833">
        <v>44.8</v>
      </c>
      <c r="Q1833">
        <v>0</v>
      </c>
      <c r="R1833">
        <v>0</v>
      </c>
      <c r="S1833">
        <v>0</v>
      </c>
      <c r="T1833">
        <v>0</v>
      </c>
      <c r="U1833" s="1">
        <v>0</v>
      </c>
      <c r="V1833">
        <v>44.8</v>
      </c>
    </row>
    <row r="1834" spans="1:22" ht="15">
      <c r="A1834" s="4">
        <v>1827</v>
      </c>
      <c r="B1834">
        <v>2795</v>
      </c>
      <c r="C1834" t="s">
        <v>4048</v>
      </c>
      <c r="D1834" t="s">
        <v>1080</v>
      </c>
      <c r="E1834" t="s">
        <v>11</v>
      </c>
      <c r="F1834" t="s">
        <v>4049</v>
      </c>
      <c r="G1834" t="str">
        <f>"00441487"</f>
        <v>00441487</v>
      </c>
      <c r="H1834">
        <v>28.8</v>
      </c>
      <c r="I1834">
        <v>0</v>
      </c>
      <c r="M1834">
        <v>4</v>
      </c>
      <c r="N1834">
        <v>0</v>
      </c>
      <c r="O1834">
        <v>0</v>
      </c>
      <c r="P1834">
        <v>32.8</v>
      </c>
      <c r="Q1834">
        <v>6</v>
      </c>
      <c r="R1834">
        <v>6</v>
      </c>
      <c r="S1834">
        <v>6</v>
      </c>
      <c r="T1834">
        <v>0</v>
      </c>
      <c r="U1834" s="1">
        <v>0</v>
      </c>
      <c r="V1834">
        <v>44.8</v>
      </c>
    </row>
    <row r="1835" spans="1:22" ht="15">
      <c r="A1835" s="4">
        <v>1828</v>
      </c>
      <c r="B1835">
        <v>1082</v>
      </c>
      <c r="C1835" t="s">
        <v>4050</v>
      </c>
      <c r="D1835" t="s">
        <v>89</v>
      </c>
      <c r="E1835" t="s">
        <v>15</v>
      </c>
      <c r="F1835" t="s">
        <v>4051</v>
      </c>
      <c r="G1835" t="str">
        <f>"00129796"</f>
        <v>00129796</v>
      </c>
      <c r="H1835">
        <v>28.8</v>
      </c>
      <c r="I1835">
        <v>0</v>
      </c>
      <c r="L1835">
        <v>4</v>
      </c>
      <c r="M1835">
        <v>4</v>
      </c>
      <c r="N1835">
        <v>4</v>
      </c>
      <c r="O1835">
        <v>0</v>
      </c>
      <c r="P1835">
        <v>36.8</v>
      </c>
      <c r="Q1835">
        <v>8</v>
      </c>
      <c r="R1835">
        <v>8</v>
      </c>
      <c r="S1835">
        <v>0</v>
      </c>
      <c r="T1835">
        <v>0</v>
      </c>
      <c r="U1835" s="1">
        <v>0</v>
      </c>
      <c r="V1835">
        <v>44.8</v>
      </c>
    </row>
    <row r="1836" spans="1:22" ht="15">
      <c r="A1836" s="4">
        <v>1829</v>
      </c>
      <c r="B1836">
        <v>276</v>
      </c>
      <c r="C1836" t="s">
        <v>4052</v>
      </c>
      <c r="D1836" t="s">
        <v>89</v>
      </c>
      <c r="E1836" t="s">
        <v>19</v>
      </c>
      <c r="F1836" t="s">
        <v>4053</v>
      </c>
      <c r="G1836" t="str">
        <f>"00396396"</f>
        <v>00396396</v>
      </c>
      <c r="H1836">
        <v>28.8</v>
      </c>
      <c r="I1836">
        <v>0</v>
      </c>
      <c r="M1836">
        <v>4</v>
      </c>
      <c r="N1836">
        <v>0</v>
      </c>
      <c r="O1836">
        <v>0</v>
      </c>
      <c r="P1836">
        <v>32.8</v>
      </c>
      <c r="Q1836">
        <v>0</v>
      </c>
      <c r="R1836">
        <v>0</v>
      </c>
      <c r="S1836">
        <v>12</v>
      </c>
      <c r="T1836">
        <v>0</v>
      </c>
      <c r="U1836" s="1">
        <v>0</v>
      </c>
      <c r="V1836">
        <v>44.8</v>
      </c>
    </row>
    <row r="1837" spans="1:22" ht="15">
      <c r="A1837" s="4">
        <v>1830</v>
      </c>
      <c r="B1837">
        <v>642</v>
      </c>
      <c r="C1837" t="s">
        <v>4054</v>
      </c>
      <c r="D1837" t="s">
        <v>76</v>
      </c>
      <c r="E1837" t="s">
        <v>19</v>
      </c>
      <c r="F1837" t="s">
        <v>4055</v>
      </c>
      <c r="G1837" t="str">
        <f>"00384109"</f>
        <v>00384109</v>
      </c>
      <c r="H1837">
        <v>28.8</v>
      </c>
      <c r="I1837">
        <v>0</v>
      </c>
      <c r="M1837">
        <v>4</v>
      </c>
      <c r="N1837">
        <v>0</v>
      </c>
      <c r="O1837">
        <v>0</v>
      </c>
      <c r="P1837">
        <v>32.8</v>
      </c>
      <c r="Q1837">
        <v>6</v>
      </c>
      <c r="R1837">
        <v>6</v>
      </c>
      <c r="S1837">
        <v>6</v>
      </c>
      <c r="T1837">
        <v>0</v>
      </c>
      <c r="U1837" s="1">
        <v>0</v>
      </c>
      <c r="V1837">
        <v>44.8</v>
      </c>
    </row>
    <row r="1838" spans="1:22" ht="15">
      <c r="A1838" s="4">
        <v>1831</v>
      </c>
      <c r="B1838">
        <v>2252</v>
      </c>
      <c r="C1838" t="s">
        <v>114</v>
      </c>
      <c r="D1838" t="s">
        <v>40</v>
      </c>
      <c r="E1838" t="s">
        <v>19</v>
      </c>
      <c r="F1838" t="s">
        <v>4056</v>
      </c>
      <c r="G1838" t="str">
        <f>"00528298"</f>
        <v>00528298</v>
      </c>
      <c r="H1838">
        <v>34.8</v>
      </c>
      <c r="I1838">
        <v>10</v>
      </c>
      <c r="M1838">
        <v>0</v>
      </c>
      <c r="N1838">
        <v>0</v>
      </c>
      <c r="O1838">
        <v>0</v>
      </c>
      <c r="P1838">
        <v>44.8</v>
      </c>
      <c r="Q1838">
        <v>0</v>
      </c>
      <c r="R1838">
        <v>0</v>
      </c>
      <c r="S1838">
        <v>0</v>
      </c>
      <c r="T1838">
        <v>0</v>
      </c>
      <c r="U1838" s="1">
        <v>0</v>
      </c>
      <c r="V1838">
        <v>44.8</v>
      </c>
    </row>
    <row r="1839" spans="1:22" ht="15">
      <c r="A1839" s="4">
        <v>1832</v>
      </c>
      <c r="B1839">
        <v>689</v>
      </c>
      <c r="C1839" t="s">
        <v>4057</v>
      </c>
      <c r="D1839" t="s">
        <v>22</v>
      </c>
      <c r="E1839" t="s">
        <v>4058</v>
      </c>
      <c r="F1839" t="s">
        <v>4059</v>
      </c>
      <c r="G1839" t="str">
        <f>"00475543"</f>
        <v>00475543</v>
      </c>
      <c r="H1839">
        <v>17.8</v>
      </c>
      <c r="I1839">
        <v>0</v>
      </c>
      <c r="M1839">
        <v>4</v>
      </c>
      <c r="N1839">
        <v>0</v>
      </c>
      <c r="O1839">
        <v>0</v>
      </c>
      <c r="P1839">
        <v>21.8</v>
      </c>
      <c r="Q1839">
        <v>23</v>
      </c>
      <c r="R1839">
        <v>23</v>
      </c>
      <c r="S1839">
        <v>0</v>
      </c>
      <c r="T1839">
        <v>0</v>
      </c>
      <c r="U1839" s="1">
        <v>0</v>
      </c>
      <c r="V1839">
        <v>44.8</v>
      </c>
    </row>
    <row r="1840" spans="1:22" ht="15">
      <c r="A1840" s="4">
        <v>1833</v>
      </c>
      <c r="B1840">
        <v>3282</v>
      </c>
      <c r="C1840" t="s">
        <v>879</v>
      </c>
      <c r="D1840" t="s">
        <v>4060</v>
      </c>
      <c r="E1840" t="s">
        <v>344</v>
      </c>
      <c r="F1840" t="s">
        <v>4061</v>
      </c>
      <c r="G1840" t="str">
        <f>"201510004135"</f>
        <v>201510004135</v>
      </c>
      <c r="H1840">
        <v>24.72</v>
      </c>
      <c r="I1840">
        <v>10</v>
      </c>
      <c r="M1840">
        <v>4</v>
      </c>
      <c r="N1840">
        <v>0</v>
      </c>
      <c r="O1840">
        <v>0</v>
      </c>
      <c r="P1840">
        <v>38.72</v>
      </c>
      <c r="Q1840">
        <v>6</v>
      </c>
      <c r="R1840">
        <v>6</v>
      </c>
      <c r="S1840">
        <v>0</v>
      </c>
      <c r="T1840">
        <v>0</v>
      </c>
      <c r="U1840" s="1">
        <v>0</v>
      </c>
      <c r="V1840">
        <v>44.72</v>
      </c>
    </row>
    <row r="1841" spans="1:22" ht="15">
      <c r="A1841" s="4">
        <v>1834</v>
      </c>
      <c r="B1841">
        <v>2403</v>
      </c>
      <c r="C1841" t="s">
        <v>4062</v>
      </c>
      <c r="D1841" t="s">
        <v>1397</v>
      </c>
      <c r="E1841" t="s">
        <v>11</v>
      </c>
      <c r="F1841" t="s">
        <v>4063</v>
      </c>
      <c r="G1841" t="str">
        <f>"201505000324"</f>
        <v>201505000324</v>
      </c>
      <c r="H1841">
        <v>32.6</v>
      </c>
      <c r="I1841">
        <v>0</v>
      </c>
      <c r="J1841">
        <v>8</v>
      </c>
      <c r="M1841">
        <v>4</v>
      </c>
      <c r="N1841">
        <v>8</v>
      </c>
      <c r="O1841">
        <v>0</v>
      </c>
      <c r="P1841">
        <v>44.6</v>
      </c>
      <c r="Q1841">
        <v>0</v>
      </c>
      <c r="R1841">
        <v>0</v>
      </c>
      <c r="S1841">
        <v>0</v>
      </c>
      <c r="T1841">
        <v>0</v>
      </c>
      <c r="U1841" s="1">
        <v>0</v>
      </c>
      <c r="V1841">
        <v>44.6</v>
      </c>
    </row>
    <row r="1842" spans="1:22" ht="15">
      <c r="A1842" s="4">
        <v>1835</v>
      </c>
      <c r="B1842">
        <v>2059</v>
      </c>
      <c r="C1842" t="s">
        <v>4064</v>
      </c>
      <c r="D1842" t="s">
        <v>799</v>
      </c>
      <c r="E1842" t="s">
        <v>23</v>
      </c>
      <c r="F1842" t="s">
        <v>4065</v>
      </c>
      <c r="G1842" t="str">
        <f>"00480083"</f>
        <v>00480083</v>
      </c>
      <c r="H1842">
        <v>32.6</v>
      </c>
      <c r="I1842">
        <v>0</v>
      </c>
      <c r="M1842">
        <v>0</v>
      </c>
      <c r="N1842">
        <v>0</v>
      </c>
      <c r="O1842">
        <v>0</v>
      </c>
      <c r="P1842">
        <v>32.6</v>
      </c>
      <c r="Q1842">
        <v>6</v>
      </c>
      <c r="R1842">
        <v>6</v>
      </c>
      <c r="S1842">
        <v>6</v>
      </c>
      <c r="T1842">
        <v>0</v>
      </c>
      <c r="U1842" s="1">
        <v>0</v>
      </c>
      <c r="V1842">
        <v>44.6</v>
      </c>
    </row>
    <row r="1843" spans="1:22" ht="15">
      <c r="A1843" s="4">
        <v>1836</v>
      </c>
      <c r="B1843">
        <v>1502</v>
      </c>
      <c r="C1843" t="s">
        <v>4066</v>
      </c>
      <c r="D1843" t="s">
        <v>4067</v>
      </c>
      <c r="E1843" t="s">
        <v>2846</v>
      </c>
      <c r="F1843" t="s">
        <v>4068</v>
      </c>
      <c r="G1843" t="str">
        <f>"00271766"</f>
        <v>00271766</v>
      </c>
      <c r="H1843">
        <v>34.56</v>
      </c>
      <c r="I1843">
        <v>10</v>
      </c>
      <c r="M1843">
        <v>0</v>
      </c>
      <c r="N1843">
        <v>0</v>
      </c>
      <c r="O1843">
        <v>0</v>
      </c>
      <c r="P1843">
        <v>44.56</v>
      </c>
      <c r="Q1843">
        <v>0</v>
      </c>
      <c r="R1843">
        <v>0</v>
      </c>
      <c r="S1843">
        <v>0</v>
      </c>
      <c r="T1843">
        <v>0</v>
      </c>
      <c r="U1843" s="1">
        <v>0</v>
      </c>
      <c r="V1843">
        <v>44.56</v>
      </c>
    </row>
    <row r="1844" spans="1:22" ht="15">
      <c r="A1844" s="4">
        <v>1837</v>
      </c>
      <c r="B1844">
        <v>3265</v>
      </c>
      <c r="C1844" t="s">
        <v>4069</v>
      </c>
      <c r="D1844" t="s">
        <v>1208</v>
      </c>
      <c r="E1844" t="s">
        <v>242</v>
      </c>
      <c r="F1844" t="s">
        <v>4070</v>
      </c>
      <c r="G1844" t="str">
        <f>"00534191"</f>
        <v>00534191</v>
      </c>
      <c r="H1844">
        <v>31.48</v>
      </c>
      <c r="I1844">
        <v>0</v>
      </c>
      <c r="L1844">
        <v>4</v>
      </c>
      <c r="M1844">
        <v>0</v>
      </c>
      <c r="N1844">
        <v>4</v>
      </c>
      <c r="O1844">
        <v>0</v>
      </c>
      <c r="P1844">
        <v>35.48</v>
      </c>
      <c r="Q1844">
        <v>0</v>
      </c>
      <c r="R1844">
        <v>0</v>
      </c>
      <c r="S1844">
        <v>9</v>
      </c>
      <c r="T1844">
        <v>0</v>
      </c>
      <c r="U1844" s="1">
        <v>0</v>
      </c>
      <c r="V1844">
        <v>44.48</v>
      </c>
    </row>
    <row r="1845" spans="1:22" ht="15">
      <c r="A1845" s="4">
        <v>1838</v>
      </c>
      <c r="B1845">
        <v>484</v>
      </c>
      <c r="C1845" t="s">
        <v>4071</v>
      </c>
      <c r="D1845" t="s">
        <v>156</v>
      </c>
      <c r="E1845" t="s">
        <v>19</v>
      </c>
      <c r="F1845" t="s">
        <v>4072</v>
      </c>
      <c r="G1845" t="str">
        <f>"00517724"</f>
        <v>00517724</v>
      </c>
      <c r="H1845">
        <v>34.48</v>
      </c>
      <c r="I1845">
        <v>0</v>
      </c>
      <c r="M1845">
        <v>4</v>
      </c>
      <c r="N1845">
        <v>0</v>
      </c>
      <c r="O1845">
        <v>0</v>
      </c>
      <c r="P1845">
        <v>38.48</v>
      </c>
      <c r="Q1845">
        <v>0</v>
      </c>
      <c r="R1845">
        <v>0</v>
      </c>
      <c r="S1845">
        <v>6</v>
      </c>
      <c r="T1845">
        <v>0</v>
      </c>
      <c r="U1845" s="1">
        <v>0</v>
      </c>
      <c r="V1845">
        <v>44.48</v>
      </c>
    </row>
    <row r="1846" spans="1:22" ht="15">
      <c r="A1846" s="4">
        <v>1839</v>
      </c>
      <c r="B1846">
        <v>3370</v>
      </c>
      <c r="C1846" t="s">
        <v>4073</v>
      </c>
      <c r="D1846" t="s">
        <v>4074</v>
      </c>
      <c r="E1846" t="s">
        <v>23</v>
      </c>
      <c r="F1846" t="s">
        <v>4075</v>
      </c>
      <c r="G1846" t="str">
        <f>"00532418"</f>
        <v>00532418</v>
      </c>
      <c r="H1846">
        <v>37.44</v>
      </c>
      <c r="I1846">
        <v>0</v>
      </c>
      <c r="M1846">
        <v>4</v>
      </c>
      <c r="N1846">
        <v>0</v>
      </c>
      <c r="O1846">
        <v>0</v>
      </c>
      <c r="P1846">
        <v>41.44</v>
      </c>
      <c r="Q1846">
        <v>0</v>
      </c>
      <c r="R1846">
        <v>0</v>
      </c>
      <c r="S1846">
        <v>3</v>
      </c>
      <c r="T1846">
        <v>0</v>
      </c>
      <c r="U1846" s="1">
        <v>0</v>
      </c>
      <c r="V1846">
        <v>44.44</v>
      </c>
    </row>
    <row r="1847" spans="1:22" ht="15">
      <c r="A1847" s="4">
        <v>1840</v>
      </c>
      <c r="B1847">
        <v>711</v>
      </c>
      <c r="C1847" t="s">
        <v>4076</v>
      </c>
      <c r="D1847" t="s">
        <v>124</v>
      </c>
      <c r="E1847" t="s">
        <v>877</v>
      </c>
      <c r="F1847" t="s">
        <v>4077</v>
      </c>
      <c r="G1847" t="str">
        <f>"200804000770"</f>
        <v>200804000770</v>
      </c>
      <c r="H1847">
        <v>14.4</v>
      </c>
      <c r="I1847">
        <v>0</v>
      </c>
      <c r="M1847">
        <v>4</v>
      </c>
      <c r="N1847">
        <v>0</v>
      </c>
      <c r="O1847">
        <v>0</v>
      </c>
      <c r="P1847">
        <v>18.4</v>
      </c>
      <c r="Q1847">
        <v>20</v>
      </c>
      <c r="R1847">
        <v>20</v>
      </c>
      <c r="S1847">
        <v>6</v>
      </c>
      <c r="T1847">
        <v>0</v>
      </c>
      <c r="U1847" s="1">
        <v>0</v>
      </c>
      <c r="V1847">
        <v>44.4</v>
      </c>
    </row>
    <row r="1848" spans="1:22" ht="15">
      <c r="A1848" s="4">
        <v>1841</v>
      </c>
      <c r="B1848">
        <v>1280</v>
      </c>
      <c r="C1848" t="s">
        <v>4078</v>
      </c>
      <c r="D1848" t="s">
        <v>121</v>
      </c>
      <c r="E1848" t="s">
        <v>19</v>
      </c>
      <c r="F1848" t="s">
        <v>4079</v>
      </c>
      <c r="G1848" t="str">
        <f>"00498189"</f>
        <v>00498189</v>
      </c>
      <c r="H1848">
        <v>14.4</v>
      </c>
      <c r="I1848">
        <v>0</v>
      </c>
      <c r="L1848">
        <v>4</v>
      </c>
      <c r="M1848">
        <v>4</v>
      </c>
      <c r="N1848">
        <v>4</v>
      </c>
      <c r="O1848">
        <v>0</v>
      </c>
      <c r="P1848">
        <v>22.4</v>
      </c>
      <c r="Q1848">
        <v>22</v>
      </c>
      <c r="R1848">
        <v>22</v>
      </c>
      <c r="S1848">
        <v>0</v>
      </c>
      <c r="T1848">
        <v>0</v>
      </c>
      <c r="U1848" s="1">
        <v>0</v>
      </c>
      <c r="V1848">
        <v>44.4</v>
      </c>
    </row>
    <row r="1849" spans="1:22" ht="15">
      <c r="A1849" s="4">
        <v>1842</v>
      </c>
      <c r="B1849">
        <v>2243</v>
      </c>
      <c r="C1849" t="s">
        <v>309</v>
      </c>
      <c r="D1849" t="s">
        <v>4080</v>
      </c>
      <c r="E1849" t="s">
        <v>30</v>
      </c>
      <c r="F1849" t="s">
        <v>4081</v>
      </c>
      <c r="G1849" t="str">
        <f>"00293500"</f>
        <v>00293500</v>
      </c>
      <c r="H1849">
        <v>38.4</v>
      </c>
      <c r="I1849">
        <v>0</v>
      </c>
      <c r="M1849">
        <v>0</v>
      </c>
      <c r="N1849">
        <v>0</v>
      </c>
      <c r="O1849">
        <v>0</v>
      </c>
      <c r="P1849">
        <v>38.4</v>
      </c>
      <c r="Q1849">
        <v>0</v>
      </c>
      <c r="R1849">
        <v>0</v>
      </c>
      <c r="S1849">
        <v>6</v>
      </c>
      <c r="T1849">
        <v>0</v>
      </c>
      <c r="U1849" s="1">
        <v>0</v>
      </c>
      <c r="V1849">
        <v>44.4</v>
      </c>
    </row>
    <row r="1850" spans="1:22" ht="15">
      <c r="A1850" s="4">
        <v>1843</v>
      </c>
      <c r="B1850">
        <v>148</v>
      </c>
      <c r="C1850" t="s">
        <v>4082</v>
      </c>
      <c r="D1850" t="s">
        <v>179</v>
      </c>
      <c r="E1850" t="s">
        <v>197</v>
      </c>
      <c r="F1850" t="s">
        <v>4083</v>
      </c>
      <c r="G1850" t="str">
        <f>"00522229"</f>
        <v>00522229</v>
      </c>
      <c r="H1850">
        <v>14.4</v>
      </c>
      <c r="I1850">
        <v>0</v>
      </c>
      <c r="M1850">
        <v>0</v>
      </c>
      <c r="N1850">
        <v>0</v>
      </c>
      <c r="O1850">
        <v>0</v>
      </c>
      <c r="P1850">
        <v>14.4</v>
      </c>
      <c r="Q1850">
        <v>30</v>
      </c>
      <c r="R1850">
        <v>30</v>
      </c>
      <c r="S1850">
        <v>0</v>
      </c>
      <c r="T1850">
        <v>0</v>
      </c>
      <c r="U1850" s="1">
        <v>0</v>
      </c>
      <c r="V1850">
        <v>44.4</v>
      </c>
    </row>
    <row r="1851" spans="1:22" ht="15">
      <c r="A1851" s="4">
        <v>1844</v>
      </c>
      <c r="B1851">
        <v>3345</v>
      </c>
      <c r="C1851" t="s">
        <v>4084</v>
      </c>
      <c r="D1851" t="s">
        <v>4085</v>
      </c>
      <c r="E1851" t="s">
        <v>186</v>
      </c>
      <c r="F1851" t="s">
        <v>4086</v>
      </c>
      <c r="G1851" t="str">
        <f>"00475987"</f>
        <v>00475987</v>
      </c>
      <c r="H1851">
        <v>27.28</v>
      </c>
      <c r="I1851">
        <v>0</v>
      </c>
      <c r="L1851">
        <v>4</v>
      </c>
      <c r="M1851">
        <v>4</v>
      </c>
      <c r="N1851">
        <v>4</v>
      </c>
      <c r="O1851">
        <v>0</v>
      </c>
      <c r="P1851">
        <v>35.28</v>
      </c>
      <c r="Q1851">
        <v>0</v>
      </c>
      <c r="R1851">
        <v>0</v>
      </c>
      <c r="S1851">
        <v>9</v>
      </c>
      <c r="T1851">
        <v>0</v>
      </c>
      <c r="U1851" s="1">
        <v>0</v>
      </c>
      <c r="V1851">
        <v>44.28</v>
      </c>
    </row>
    <row r="1852" spans="1:22" ht="15">
      <c r="A1852" s="4">
        <v>1845</v>
      </c>
      <c r="B1852">
        <v>792</v>
      </c>
      <c r="C1852" t="s">
        <v>4087</v>
      </c>
      <c r="D1852" t="s">
        <v>89</v>
      </c>
      <c r="E1852" t="s">
        <v>11</v>
      </c>
      <c r="F1852" t="s">
        <v>4088</v>
      </c>
      <c r="G1852" t="str">
        <f>"00107099"</f>
        <v>00107099</v>
      </c>
      <c r="H1852">
        <v>43.2</v>
      </c>
      <c r="I1852">
        <v>0</v>
      </c>
      <c r="M1852">
        <v>0</v>
      </c>
      <c r="N1852">
        <v>0</v>
      </c>
      <c r="O1852">
        <v>0</v>
      </c>
      <c r="P1852">
        <v>43.2</v>
      </c>
      <c r="Q1852">
        <v>1</v>
      </c>
      <c r="R1852">
        <v>1</v>
      </c>
      <c r="S1852">
        <v>0</v>
      </c>
      <c r="T1852">
        <v>0</v>
      </c>
      <c r="U1852" s="1">
        <v>0</v>
      </c>
      <c r="V1852">
        <v>44.2</v>
      </c>
    </row>
    <row r="1853" spans="1:22" ht="15">
      <c r="A1853" s="4">
        <v>1846</v>
      </c>
      <c r="B1853">
        <v>851</v>
      </c>
      <c r="C1853" t="s">
        <v>2512</v>
      </c>
      <c r="D1853" t="s">
        <v>102</v>
      </c>
      <c r="E1853" t="s">
        <v>23</v>
      </c>
      <c r="F1853" t="s">
        <v>4089</v>
      </c>
      <c r="G1853" t="str">
        <f>"00459309"</f>
        <v>00459309</v>
      </c>
      <c r="H1853">
        <v>9.2</v>
      </c>
      <c r="I1853">
        <v>10</v>
      </c>
      <c r="J1853">
        <v>8</v>
      </c>
      <c r="M1853">
        <v>4</v>
      </c>
      <c r="N1853">
        <v>8</v>
      </c>
      <c r="O1853">
        <v>2</v>
      </c>
      <c r="P1853">
        <v>33.2</v>
      </c>
      <c r="Q1853">
        <v>11</v>
      </c>
      <c r="R1853">
        <v>11</v>
      </c>
      <c r="S1853">
        <v>0</v>
      </c>
      <c r="T1853">
        <v>0</v>
      </c>
      <c r="U1853" s="1">
        <v>0</v>
      </c>
      <c r="V1853">
        <v>44.2</v>
      </c>
    </row>
    <row r="1854" spans="1:22" ht="15">
      <c r="A1854" s="4">
        <v>1847</v>
      </c>
      <c r="B1854">
        <v>674</v>
      </c>
      <c r="C1854" t="s">
        <v>4090</v>
      </c>
      <c r="D1854" t="s">
        <v>14</v>
      </c>
      <c r="E1854" t="s">
        <v>73</v>
      </c>
      <c r="F1854" t="s">
        <v>4091</v>
      </c>
      <c r="G1854" t="str">
        <f>"201406003355"</f>
        <v>201406003355</v>
      </c>
      <c r="H1854">
        <v>36</v>
      </c>
      <c r="I1854">
        <v>0</v>
      </c>
      <c r="L1854">
        <v>4</v>
      </c>
      <c r="M1854">
        <v>4</v>
      </c>
      <c r="N1854">
        <v>4</v>
      </c>
      <c r="O1854">
        <v>0</v>
      </c>
      <c r="P1854">
        <v>44</v>
      </c>
      <c r="Q1854">
        <v>0</v>
      </c>
      <c r="R1854">
        <v>0</v>
      </c>
      <c r="S1854">
        <v>0</v>
      </c>
      <c r="T1854">
        <v>0</v>
      </c>
      <c r="U1854" s="1">
        <v>0</v>
      </c>
      <c r="V1854">
        <v>44</v>
      </c>
    </row>
    <row r="1855" spans="1:22" ht="15">
      <c r="A1855" s="4">
        <v>1848</v>
      </c>
      <c r="B1855">
        <v>2382</v>
      </c>
      <c r="C1855" t="s">
        <v>4092</v>
      </c>
      <c r="D1855" t="s">
        <v>89</v>
      </c>
      <c r="E1855" t="s">
        <v>4093</v>
      </c>
      <c r="F1855" t="s">
        <v>4094</v>
      </c>
      <c r="G1855" t="str">
        <f>"00530179"</f>
        <v>00530179</v>
      </c>
      <c r="H1855">
        <v>40</v>
      </c>
      <c r="I1855">
        <v>0</v>
      </c>
      <c r="M1855">
        <v>4</v>
      </c>
      <c r="N1855">
        <v>0</v>
      </c>
      <c r="O1855">
        <v>0</v>
      </c>
      <c r="P1855">
        <v>44</v>
      </c>
      <c r="Q1855">
        <v>0</v>
      </c>
      <c r="R1855">
        <v>0</v>
      </c>
      <c r="S1855">
        <v>0</v>
      </c>
      <c r="T1855">
        <v>0</v>
      </c>
      <c r="U1855" s="1">
        <v>0</v>
      </c>
      <c r="V1855">
        <v>44</v>
      </c>
    </row>
    <row r="1856" spans="1:22" ht="15">
      <c r="A1856" s="4">
        <v>1849</v>
      </c>
      <c r="B1856">
        <v>1809</v>
      </c>
      <c r="C1856" t="s">
        <v>4095</v>
      </c>
      <c r="D1856" t="s">
        <v>72</v>
      </c>
      <c r="E1856" t="s">
        <v>19</v>
      </c>
      <c r="F1856" t="s">
        <v>4096</v>
      </c>
      <c r="G1856" t="str">
        <f>"00124225"</f>
        <v>00124225</v>
      </c>
      <c r="H1856">
        <v>36</v>
      </c>
      <c r="I1856">
        <v>0</v>
      </c>
      <c r="L1856">
        <v>4</v>
      </c>
      <c r="M1856">
        <v>4</v>
      </c>
      <c r="N1856">
        <v>4</v>
      </c>
      <c r="O1856">
        <v>0</v>
      </c>
      <c r="P1856">
        <v>44</v>
      </c>
      <c r="Q1856">
        <v>0</v>
      </c>
      <c r="R1856">
        <v>0</v>
      </c>
      <c r="S1856">
        <v>0</v>
      </c>
      <c r="T1856">
        <v>0</v>
      </c>
      <c r="U1856" s="1">
        <v>0</v>
      </c>
      <c r="V1856">
        <v>44</v>
      </c>
    </row>
    <row r="1857" spans="1:22" ht="15">
      <c r="A1857" s="4">
        <v>1850</v>
      </c>
      <c r="B1857">
        <v>1164</v>
      </c>
      <c r="C1857" t="s">
        <v>4097</v>
      </c>
      <c r="D1857" t="s">
        <v>156</v>
      </c>
      <c r="E1857" t="s">
        <v>242</v>
      </c>
      <c r="F1857" t="s">
        <v>4098</v>
      </c>
      <c r="G1857" t="str">
        <f>"00530118"</f>
        <v>00530118</v>
      </c>
      <c r="H1857">
        <v>36</v>
      </c>
      <c r="I1857">
        <v>0</v>
      </c>
      <c r="L1857">
        <v>4</v>
      </c>
      <c r="M1857">
        <v>4</v>
      </c>
      <c r="N1857">
        <v>4</v>
      </c>
      <c r="O1857">
        <v>0</v>
      </c>
      <c r="P1857">
        <v>44</v>
      </c>
      <c r="Q1857">
        <v>0</v>
      </c>
      <c r="R1857">
        <v>0</v>
      </c>
      <c r="S1857">
        <v>0</v>
      </c>
      <c r="T1857">
        <v>0</v>
      </c>
      <c r="U1857" s="1">
        <v>0</v>
      </c>
      <c r="V1857">
        <v>44</v>
      </c>
    </row>
    <row r="1858" spans="1:22" ht="15">
      <c r="A1858" s="4">
        <v>1851</v>
      </c>
      <c r="B1858">
        <v>3378</v>
      </c>
      <c r="C1858" t="s">
        <v>1005</v>
      </c>
      <c r="D1858" t="s">
        <v>4099</v>
      </c>
      <c r="E1858" t="s">
        <v>4100</v>
      </c>
      <c r="F1858" t="s">
        <v>4101</v>
      </c>
      <c r="G1858" t="str">
        <f>"00158998"</f>
        <v>00158998</v>
      </c>
      <c r="H1858">
        <v>34</v>
      </c>
      <c r="I1858">
        <v>0</v>
      </c>
      <c r="M1858">
        <v>4</v>
      </c>
      <c r="N1858">
        <v>0</v>
      </c>
      <c r="O1858">
        <v>0</v>
      </c>
      <c r="P1858">
        <v>38</v>
      </c>
      <c r="Q1858">
        <v>0</v>
      </c>
      <c r="R1858">
        <v>0</v>
      </c>
      <c r="S1858">
        <v>6</v>
      </c>
      <c r="T1858">
        <v>0</v>
      </c>
      <c r="U1858" s="1">
        <v>0</v>
      </c>
      <c r="V1858">
        <v>44</v>
      </c>
    </row>
    <row r="1859" spans="1:22" ht="15">
      <c r="A1859" s="4">
        <v>1852</v>
      </c>
      <c r="B1859">
        <v>1838</v>
      </c>
      <c r="C1859" t="s">
        <v>4102</v>
      </c>
      <c r="D1859" t="s">
        <v>280</v>
      </c>
      <c r="E1859" t="s">
        <v>51</v>
      </c>
      <c r="F1859" t="s">
        <v>4103</v>
      </c>
      <c r="G1859" t="str">
        <f>"00515711"</f>
        <v>00515711</v>
      </c>
      <c r="H1859">
        <v>36</v>
      </c>
      <c r="I1859">
        <v>0</v>
      </c>
      <c r="M1859">
        <v>0</v>
      </c>
      <c r="N1859">
        <v>0</v>
      </c>
      <c r="O1859">
        <v>0</v>
      </c>
      <c r="P1859">
        <v>36</v>
      </c>
      <c r="Q1859">
        <v>5</v>
      </c>
      <c r="R1859">
        <v>5</v>
      </c>
      <c r="S1859">
        <v>3</v>
      </c>
      <c r="T1859">
        <v>0</v>
      </c>
      <c r="U1859" s="1">
        <v>0</v>
      </c>
      <c r="V1859">
        <v>44</v>
      </c>
    </row>
    <row r="1860" spans="1:22" ht="15">
      <c r="A1860" s="4">
        <v>1853</v>
      </c>
      <c r="B1860">
        <v>2940</v>
      </c>
      <c r="C1860" t="s">
        <v>4104</v>
      </c>
      <c r="D1860" t="s">
        <v>697</v>
      </c>
      <c r="E1860" t="s">
        <v>73</v>
      </c>
      <c r="F1860" t="s">
        <v>4105</v>
      </c>
      <c r="G1860" t="str">
        <f>"00509942"</f>
        <v>00509942</v>
      </c>
      <c r="H1860">
        <v>36</v>
      </c>
      <c r="I1860">
        <v>0</v>
      </c>
      <c r="M1860">
        <v>0</v>
      </c>
      <c r="N1860">
        <v>0</v>
      </c>
      <c r="O1860">
        <v>2</v>
      </c>
      <c r="P1860">
        <v>38</v>
      </c>
      <c r="Q1860">
        <v>6</v>
      </c>
      <c r="R1860">
        <v>6</v>
      </c>
      <c r="S1860">
        <v>0</v>
      </c>
      <c r="T1860">
        <v>0</v>
      </c>
      <c r="U1860" s="1">
        <v>0</v>
      </c>
      <c r="V1860">
        <v>44</v>
      </c>
    </row>
    <row r="1861" spans="1:22" ht="15">
      <c r="A1861" s="4">
        <v>1854</v>
      </c>
      <c r="B1861">
        <v>2182</v>
      </c>
      <c r="C1861" t="s">
        <v>4106</v>
      </c>
      <c r="D1861" t="s">
        <v>640</v>
      </c>
      <c r="E1861" t="s">
        <v>11</v>
      </c>
      <c r="F1861" t="s">
        <v>4107</v>
      </c>
      <c r="G1861" t="str">
        <f>"00257415"</f>
        <v>00257415</v>
      </c>
      <c r="H1861">
        <v>40</v>
      </c>
      <c r="I1861">
        <v>0</v>
      </c>
      <c r="M1861">
        <v>4</v>
      </c>
      <c r="N1861">
        <v>0</v>
      </c>
      <c r="O1861">
        <v>0</v>
      </c>
      <c r="P1861">
        <v>44</v>
      </c>
      <c r="Q1861">
        <v>0</v>
      </c>
      <c r="R1861">
        <v>0</v>
      </c>
      <c r="S1861">
        <v>0</v>
      </c>
      <c r="T1861">
        <v>0</v>
      </c>
      <c r="U1861" s="1">
        <v>0</v>
      </c>
      <c r="V1861">
        <v>44</v>
      </c>
    </row>
    <row r="1862" spans="1:22" ht="15">
      <c r="A1862" s="4">
        <v>1855</v>
      </c>
      <c r="B1862">
        <v>560</v>
      </c>
      <c r="C1862" t="s">
        <v>4108</v>
      </c>
      <c r="D1862" t="s">
        <v>40</v>
      </c>
      <c r="E1862" t="s">
        <v>23</v>
      </c>
      <c r="F1862" t="s">
        <v>4109</v>
      </c>
      <c r="G1862" t="str">
        <f>"201511031908"</f>
        <v>201511031908</v>
      </c>
      <c r="H1862">
        <v>36</v>
      </c>
      <c r="I1862">
        <v>0</v>
      </c>
      <c r="L1862">
        <v>4</v>
      </c>
      <c r="M1862">
        <v>4</v>
      </c>
      <c r="N1862">
        <v>4</v>
      </c>
      <c r="O1862">
        <v>0</v>
      </c>
      <c r="P1862">
        <v>44</v>
      </c>
      <c r="Q1862">
        <v>0</v>
      </c>
      <c r="R1862">
        <v>0</v>
      </c>
      <c r="S1862">
        <v>0</v>
      </c>
      <c r="T1862">
        <v>0</v>
      </c>
      <c r="U1862" s="1">
        <v>0</v>
      </c>
      <c r="V1862">
        <v>44</v>
      </c>
    </row>
    <row r="1863" spans="1:22" ht="15">
      <c r="A1863" s="4">
        <v>1856</v>
      </c>
      <c r="B1863">
        <v>5</v>
      </c>
      <c r="C1863" t="s">
        <v>4110</v>
      </c>
      <c r="D1863" t="s">
        <v>280</v>
      </c>
      <c r="E1863" t="s">
        <v>440</v>
      </c>
      <c r="F1863" t="s">
        <v>4111</v>
      </c>
      <c r="G1863" t="str">
        <f>"00152419"</f>
        <v>00152419</v>
      </c>
      <c r="H1863">
        <v>36</v>
      </c>
      <c r="I1863">
        <v>0</v>
      </c>
      <c r="L1863">
        <v>4</v>
      </c>
      <c r="M1863">
        <v>4</v>
      </c>
      <c r="N1863">
        <v>4</v>
      </c>
      <c r="O1863">
        <v>0</v>
      </c>
      <c r="P1863">
        <v>44</v>
      </c>
      <c r="Q1863">
        <v>0</v>
      </c>
      <c r="R1863">
        <v>0</v>
      </c>
      <c r="S1863">
        <v>0</v>
      </c>
      <c r="T1863">
        <v>0</v>
      </c>
      <c r="U1863" s="1">
        <v>0</v>
      </c>
      <c r="V1863">
        <v>44</v>
      </c>
    </row>
    <row r="1864" spans="1:22" ht="15">
      <c r="A1864" s="4">
        <v>1857</v>
      </c>
      <c r="B1864">
        <v>495</v>
      </c>
      <c r="C1864" t="s">
        <v>4112</v>
      </c>
      <c r="D1864" t="s">
        <v>211</v>
      </c>
      <c r="E1864" t="s">
        <v>55</v>
      </c>
      <c r="F1864" t="s">
        <v>4113</v>
      </c>
      <c r="G1864" t="str">
        <f>"00530431"</f>
        <v>00530431</v>
      </c>
      <c r="H1864">
        <v>36</v>
      </c>
      <c r="I1864">
        <v>0</v>
      </c>
      <c r="L1864">
        <v>4</v>
      </c>
      <c r="M1864">
        <v>4</v>
      </c>
      <c r="N1864">
        <v>4</v>
      </c>
      <c r="O1864">
        <v>0</v>
      </c>
      <c r="P1864">
        <v>44</v>
      </c>
      <c r="Q1864">
        <v>0</v>
      </c>
      <c r="R1864">
        <v>0</v>
      </c>
      <c r="S1864">
        <v>0</v>
      </c>
      <c r="T1864">
        <v>0</v>
      </c>
      <c r="U1864" s="1">
        <v>0</v>
      </c>
      <c r="V1864">
        <v>44</v>
      </c>
    </row>
    <row r="1865" spans="1:22" ht="15">
      <c r="A1865" s="4">
        <v>1858</v>
      </c>
      <c r="B1865">
        <v>2298</v>
      </c>
      <c r="C1865" t="s">
        <v>1584</v>
      </c>
      <c r="D1865" t="s">
        <v>89</v>
      </c>
      <c r="E1865" t="s">
        <v>23</v>
      </c>
      <c r="F1865" t="s">
        <v>4114</v>
      </c>
      <c r="G1865" t="str">
        <f>"00516187"</f>
        <v>00516187</v>
      </c>
      <c r="H1865">
        <v>28</v>
      </c>
      <c r="I1865">
        <v>0</v>
      </c>
      <c r="M1865">
        <v>4</v>
      </c>
      <c r="N1865">
        <v>0</v>
      </c>
      <c r="O1865">
        <v>0</v>
      </c>
      <c r="P1865">
        <v>32</v>
      </c>
      <c r="Q1865">
        <v>0</v>
      </c>
      <c r="R1865">
        <v>0</v>
      </c>
      <c r="S1865">
        <v>12</v>
      </c>
      <c r="T1865">
        <v>0</v>
      </c>
      <c r="U1865" s="1">
        <v>0</v>
      </c>
      <c r="V1865">
        <v>44</v>
      </c>
    </row>
    <row r="1866" spans="1:22" ht="15">
      <c r="A1866" s="4">
        <v>1859</v>
      </c>
      <c r="B1866">
        <v>1056</v>
      </c>
      <c r="C1866" t="s">
        <v>4115</v>
      </c>
      <c r="D1866" t="s">
        <v>89</v>
      </c>
      <c r="E1866" t="s">
        <v>344</v>
      </c>
      <c r="F1866" t="s">
        <v>4116</v>
      </c>
      <c r="G1866" t="str">
        <f>"00143257"</f>
        <v>00143257</v>
      </c>
      <c r="H1866">
        <v>32.88</v>
      </c>
      <c r="I1866">
        <v>0</v>
      </c>
      <c r="L1866">
        <v>4</v>
      </c>
      <c r="M1866">
        <v>4</v>
      </c>
      <c r="N1866">
        <v>4</v>
      </c>
      <c r="O1866">
        <v>0</v>
      </c>
      <c r="P1866">
        <v>40.88</v>
      </c>
      <c r="Q1866">
        <v>0</v>
      </c>
      <c r="R1866">
        <v>0</v>
      </c>
      <c r="S1866">
        <v>3</v>
      </c>
      <c r="T1866">
        <v>0</v>
      </c>
      <c r="U1866" s="1">
        <v>0</v>
      </c>
      <c r="V1866">
        <v>43.88</v>
      </c>
    </row>
    <row r="1867" spans="1:22" ht="15">
      <c r="A1867" s="4">
        <v>1860</v>
      </c>
      <c r="B1867">
        <v>1159</v>
      </c>
      <c r="C1867" t="s">
        <v>4117</v>
      </c>
      <c r="D1867" t="s">
        <v>40</v>
      </c>
      <c r="E1867" t="s">
        <v>23</v>
      </c>
      <c r="F1867" t="s">
        <v>4118</v>
      </c>
      <c r="G1867" t="str">
        <f>"00070020"</f>
        <v>00070020</v>
      </c>
      <c r="H1867">
        <v>28.8</v>
      </c>
      <c r="I1867">
        <v>0</v>
      </c>
      <c r="J1867">
        <v>8</v>
      </c>
      <c r="M1867">
        <v>4</v>
      </c>
      <c r="N1867">
        <v>8</v>
      </c>
      <c r="O1867">
        <v>0</v>
      </c>
      <c r="P1867">
        <v>40.8</v>
      </c>
      <c r="Q1867">
        <v>0</v>
      </c>
      <c r="R1867">
        <v>0</v>
      </c>
      <c r="S1867">
        <v>3</v>
      </c>
      <c r="T1867">
        <v>0</v>
      </c>
      <c r="U1867" s="1">
        <v>0</v>
      </c>
      <c r="V1867">
        <v>43.8</v>
      </c>
    </row>
    <row r="1868" spans="1:22" ht="15">
      <c r="A1868" s="4">
        <v>1861</v>
      </c>
      <c r="B1868">
        <v>2898</v>
      </c>
      <c r="C1868" t="s">
        <v>46</v>
      </c>
      <c r="D1868" t="s">
        <v>14</v>
      </c>
      <c r="E1868" t="s">
        <v>19</v>
      </c>
      <c r="F1868" t="s">
        <v>4119</v>
      </c>
      <c r="G1868" t="str">
        <f>"201401002341"</f>
        <v>201401002341</v>
      </c>
      <c r="H1868">
        <v>28.8</v>
      </c>
      <c r="I1868">
        <v>0</v>
      </c>
      <c r="J1868">
        <v>8</v>
      </c>
      <c r="M1868">
        <v>4</v>
      </c>
      <c r="N1868">
        <v>8</v>
      </c>
      <c r="O1868">
        <v>0</v>
      </c>
      <c r="P1868">
        <v>40.8</v>
      </c>
      <c r="Q1868">
        <v>0</v>
      </c>
      <c r="R1868">
        <v>0</v>
      </c>
      <c r="S1868">
        <v>3</v>
      </c>
      <c r="T1868">
        <v>0</v>
      </c>
      <c r="U1868" s="1">
        <v>0</v>
      </c>
      <c r="V1868">
        <v>43.8</v>
      </c>
    </row>
    <row r="1869" spans="1:22" ht="15">
      <c r="A1869" s="4">
        <v>1862</v>
      </c>
      <c r="B1869">
        <v>3289</v>
      </c>
      <c r="C1869" t="s">
        <v>3979</v>
      </c>
      <c r="D1869" t="s">
        <v>176</v>
      </c>
      <c r="E1869" t="s">
        <v>99</v>
      </c>
      <c r="F1869" t="s">
        <v>4120</v>
      </c>
      <c r="G1869" t="str">
        <f>"00530543"</f>
        <v>00530543</v>
      </c>
      <c r="H1869">
        <v>37.8</v>
      </c>
      <c r="I1869">
        <v>0</v>
      </c>
      <c r="M1869">
        <v>0</v>
      </c>
      <c r="N1869">
        <v>0</v>
      </c>
      <c r="O1869">
        <v>0</v>
      </c>
      <c r="P1869">
        <v>37.8</v>
      </c>
      <c r="Q1869">
        <v>0</v>
      </c>
      <c r="R1869">
        <v>0</v>
      </c>
      <c r="S1869">
        <v>6</v>
      </c>
      <c r="T1869">
        <v>0</v>
      </c>
      <c r="U1869" s="1">
        <v>0</v>
      </c>
      <c r="V1869">
        <v>43.8</v>
      </c>
    </row>
    <row r="1870" spans="1:22" ht="15">
      <c r="A1870" s="4">
        <v>1863</v>
      </c>
      <c r="B1870">
        <v>1925</v>
      </c>
      <c r="C1870" t="s">
        <v>1432</v>
      </c>
      <c r="D1870" t="s">
        <v>339</v>
      </c>
      <c r="E1870" t="s">
        <v>732</v>
      </c>
      <c r="F1870" t="s">
        <v>4121</v>
      </c>
      <c r="G1870" t="str">
        <f>"00519805"</f>
        <v>00519805</v>
      </c>
      <c r="H1870">
        <v>34.8</v>
      </c>
      <c r="I1870">
        <v>0</v>
      </c>
      <c r="M1870">
        <v>4</v>
      </c>
      <c r="N1870">
        <v>0</v>
      </c>
      <c r="O1870">
        <v>0</v>
      </c>
      <c r="P1870">
        <v>38.8</v>
      </c>
      <c r="Q1870">
        <v>5</v>
      </c>
      <c r="R1870">
        <v>5</v>
      </c>
      <c r="S1870">
        <v>0</v>
      </c>
      <c r="T1870">
        <v>0</v>
      </c>
      <c r="U1870" s="1">
        <v>0</v>
      </c>
      <c r="V1870">
        <v>43.8</v>
      </c>
    </row>
    <row r="1871" spans="1:22" ht="15">
      <c r="A1871" s="4">
        <v>1864</v>
      </c>
      <c r="B1871">
        <v>2236</v>
      </c>
      <c r="C1871" t="s">
        <v>13</v>
      </c>
      <c r="D1871" t="s">
        <v>14</v>
      </c>
      <c r="E1871" t="s">
        <v>428</v>
      </c>
      <c r="F1871" t="s">
        <v>4122</v>
      </c>
      <c r="G1871" t="str">
        <f>"00533003"</f>
        <v>00533003</v>
      </c>
      <c r="H1871">
        <v>20.8</v>
      </c>
      <c r="I1871">
        <v>10</v>
      </c>
      <c r="K1871">
        <v>6</v>
      </c>
      <c r="M1871">
        <v>4</v>
      </c>
      <c r="N1871">
        <v>6</v>
      </c>
      <c r="O1871">
        <v>0</v>
      </c>
      <c r="P1871">
        <v>40.8</v>
      </c>
      <c r="Q1871">
        <v>0</v>
      </c>
      <c r="R1871">
        <v>0</v>
      </c>
      <c r="S1871">
        <v>3</v>
      </c>
      <c r="T1871">
        <v>0</v>
      </c>
      <c r="U1871" s="1">
        <v>0</v>
      </c>
      <c r="V1871">
        <v>43.8</v>
      </c>
    </row>
    <row r="1872" spans="1:22" ht="15">
      <c r="A1872" s="4">
        <v>1865</v>
      </c>
      <c r="B1872">
        <v>3190</v>
      </c>
      <c r="C1872" t="s">
        <v>4123</v>
      </c>
      <c r="D1872" t="s">
        <v>580</v>
      </c>
      <c r="E1872" t="s">
        <v>260</v>
      </c>
      <c r="F1872" t="s">
        <v>4124</v>
      </c>
      <c r="G1872" t="str">
        <f>"00169966"</f>
        <v>00169966</v>
      </c>
      <c r="H1872">
        <v>29.76</v>
      </c>
      <c r="I1872">
        <v>10</v>
      </c>
      <c r="M1872">
        <v>4</v>
      </c>
      <c r="N1872">
        <v>0</v>
      </c>
      <c r="O1872">
        <v>0</v>
      </c>
      <c r="P1872">
        <v>43.76</v>
      </c>
      <c r="Q1872">
        <v>0</v>
      </c>
      <c r="R1872">
        <v>0</v>
      </c>
      <c r="S1872">
        <v>0</v>
      </c>
      <c r="T1872">
        <v>0</v>
      </c>
      <c r="U1872" s="1">
        <v>0</v>
      </c>
      <c r="V1872">
        <v>43.76</v>
      </c>
    </row>
    <row r="1873" spans="1:22" ht="15">
      <c r="A1873" s="4">
        <v>1866</v>
      </c>
      <c r="B1873">
        <v>2855</v>
      </c>
      <c r="C1873" t="s">
        <v>377</v>
      </c>
      <c r="D1873" t="s">
        <v>4125</v>
      </c>
      <c r="E1873" t="s">
        <v>201</v>
      </c>
      <c r="F1873" t="s">
        <v>4126</v>
      </c>
      <c r="G1873" t="str">
        <f>"00534001"</f>
        <v>00534001</v>
      </c>
      <c r="H1873">
        <v>33.72</v>
      </c>
      <c r="I1873">
        <v>0</v>
      </c>
      <c r="M1873">
        <v>4</v>
      </c>
      <c r="N1873">
        <v>0</v>
      </c>
      <c r="O1873">
        <v>0</v>
      </c>
      <c r="P1873">
        <v>37.72</v>
      </c>
      <c r="Q1873">
        <v>0</v>
      </c>
      <c r="R1873">
        <v>0</v>
      </c>
      <c r="S1873">
        <v>6</v>
      </c>
      <c r="T1873">
        <v>0</v>
      </c>
      <c r="U1873" s="1">
        <v>0</v>
      </c>
      <c r="V1873">
        <v>43.72</v>
      </c>
    </row>
    <row r="1874" spans="1:22" ht="15">
      <c r="A1874" s="4">
        <v>1867</v>
      </c>
      <c r="B1874">
        <v>321</v>
      </c>
      <c r="C1874" t="s">
        <v>2942</v>
      </c>
      <c r="D1874" t="s">
        <v>102</v>
      </c>
      <c r="E1874" t="s">
        <v>99</v>
      </c>
      <c r="F1874" t="s">
        <v>4127</v>
      </c>
      <c r="G1874" t="str">
        <f>"201511025857"</f>
        <v>201511025857</v>
      </c>
      <c r="H1874">
        <v>33.68</v>
      </c>
      <c r="I1874">
        <v>0</v>
      </c>
      <c r="K1874">
        <v>6</v>
      </c>
      <c r="M1874">
        <v>4</v>
      </c>
      <c r="N1874">
        <v>6</v>
      </c>
      <c r="O1874">
        <v>0</v>
      </c>
      <c r="P1874">
        <v>43.68</v>
      </c>
      <c r="Q1874">
        <v>0</v>
      </c>
      <c r="R1874">
        <v>0</v>
      </c>
      <c r="S1874">
        <v>0</v>
      </c>
      <c r="T1874">
        <v>0</v>
      </c>
      <c r="U1874" s="1">
        <v>0</v>
      </c>
      <c r="V1874">
        <v>43.68</v>
      </c>
    </row>
    <row r="1875" spans="1:22" ht="15">
      <c r="A1875" s="4">
        <v>1868</v>
      </c>
      <c r="B1875">
        <v>1900</v>
      </c>
      <c r="C1875" t="s">
        <v>4128</v>
      </c>
      <c r="D1875" t="s">
        <v>89</v>
      </c>
      <c r="E1875" t="s">
        <v>15</v>
      </c>
      <c r="F1875" t="s">
        <v>4129</v>
      </c>
      <c r="G1875" t="str">
        <f>"00161142"</f>
        <v>00161142</v>
      </c>
      <c r="H1875">
        <v>39.6</v>
      </c>
      <c r="I1875">
        <v>0</v>
      </c>
      <c r="M1875">
        <v>4</v>
      </c>
      <c r="N1875">
        <v>0</v>
      </c>
      <c r="O1875">
        <v>0</v>
      </c>
      <c r="P1875">
        <v>43.6</v>
      </c>
      <c r="Q1875">
        <v>0</v>
      </c>
      <c r="R1875">
        <v>0</v>
      </c>
      <c r="S1875">
        <v>0</v>
      </c>
      <c r="T1875">
        <v>0</v>
      </c>
      <c r="U1875" s="1">
        <v>0</v>
      </c>
      <c r="V1875">
        <v>43.6</v>
      </c>
    </row>
    <row r="1876" spans="1:22" ht="15">
      <c r="A1876" s="4">
        <v>1869</v>
      </c>
      <c r="B1876">
        <v>3147</v>
      </c>
      <c r="C1876" t="s">
        <v>4130</v>
      </c>
      <c r="D1876" t="s">
        <v>839</v>
      </c>
      <c r="E1876" t="s">
        <v>23</v>
      </c>
      <c r="F1876" t="s">
        <v>4131</v>
      </c>
      <c r="G1876" t="str">
        <f>"200801004135"</f>
        <v>200801004135</v>
      </c>
      <c r="H1876">
        <v>32.6</v>
      </c>
      <c r="I1876">
        <v>0</v>
      </c>
      <c r="L1876">
        <v>4</v>
      </c>
      <c r="M1876">
        <v>4</v>
      </c>
      <c r="N1876">
        <v>4</v>
      </c>
      <c r="O1876">
        <v>0</v>
      </c>
      <c r="P1876">
        <v>40.6</v>
      </c>
      <c r="Q1876">
        <v>0</v>
      </c>
      <c r="R1876">
        <v>0</v>
      </c>
      <c r="S1876">
        <v>3</v>
      </c>
      <c r="T1876">
        <v>0</v>
      </c>
      <c r="U1876" s="1">
        <v>0</v>
      </c>
      <c r="V1876">
        <v>43.6</v>
      </c>
    </row>
    <row r="1877" spans="1:22" ht="15">
      <c r="A1877" s="4">
        <v>1870</v>
      </c>
      <c r="B1877">
        <v>982</v>
      </c>
      <c r="C1877" t="s">
        <v>4132</v>
      </c>
      <c r="D1877" t="s">
        <v>4133</v>
      </c>
      <c r="E1877" t="s">
        <v>90</v>
      </c>
      <c r="F1877" t="s">
        <v>4134</v>
      </c>
      <c r="G1877" t="str">
        <f>"00422594"</f>
        <v>00422594</v>
      </c>
      <c r="H1877">
        <v>21.6</v>
      </c>
      <c r="I1877">
        <v>10</v>
      </c>
      <c r="J1877">
        <v>8</v>
      </c>
      <c r="M1877">
        <v>4</v>
      </c>
      <c r="N1877">
        <v>8</v>
      </c>
      <c r="O1877">
        <v>0</v>
      </c>
      <c r="P1877">
        <v>43.6</v>
      </c>
      <c r="Q1877">
        <v>0</v>
      </c>
      <c r="R1877">
        <v>0</v>
      </c>
      <c r="S1877">
        <v>0</v>
      </c>
      <c r="T1877">
        <v>0</v>
      </c>
      <c r="U1877" s="1">
        <v>0</v>
      </c>
      <c r="V1877">
        <v>43.6</v>
      </c>
    </row>
    <row r="1878" spans="1:22" ht="15">
      <c r="A1878" s="4">
        <v>1871</v>
      </c>
      <c r="B1878">
        <v>134</v>
      </c>
      <c r="C1878" t="s">
        <v>4135</v>
      </c>
      <c r="D1878" t="s">
        <v>280</v>
      </c>
      <c r="E1878" t="s">
        <v>30</v>
      </c>
      <c r="F1878" t="s">
        <v>4136</v>
      </c>
      <c r="G1878" t="str">
        <f>"00297779"</f>
        <v>00297779</v>
      </c>
      <c r="H1878">
        <v>37.6</v>
      </c>
      <c r="I1878">
        <v>0</v>
      </c>
      <c r="M1878">
        <v>0</v>
      </c>
      <c r="N1878">
        <v>0</v>
      </c>
      <c r="O1878">
        <v>0</v>
      </c>
      <c r="P1878">
        <v>37.6</v>
      </c>
      <c r="Q1878">
        <v>6</v>
      </c>
      <c r="R1878">
        <v>6</v>
      </c>
      <c r="S1878">
        <v>0</v>
      </c>
      <c r="T1878">
        <v>0</v>
      </c>
      <c r="U1878" s="1">
        <v>0</v>
      </c>
      <c r="V1878">
        <v>43.6</v>
      </c>
    </row>
    <row r="1879" spans="1:22" ht="15">
      <c r="A1879" s="4">
        <v>1872</v>
      </c>
      <c r="B1879">
        <v>2268</v>
      </c>
      <c r="C1879" t="s">
        <v>4137</v>
      </c>
      <c r="D1879" t="s">
        <v>127</v>
      </c>
      <c r="E1879" t="s">
        <v>270</v>
      </c>
      <c r="F1879" t="s">
        <v>4138</v>
      </c>
      <c r="G1879" t="str">
        <f>"00532869"</f>
        <v>00532869</v>
      </c>
      <c r="H1879">
        <v>21.6</v>
      </c>
      <c r="I1879">
        <v>10</v>
      </c>
      <c r="M1879">
        <v>0</v>
      </c>
      <c r="N1879">
        <v>0</v>
      </c>
      <c r="O1879">
        <v>0</v>
      </c>
      <c r="P1879">
        <v>31.6</v>
      </c>
      <c r="Q1879">
        <v>12</v>
      </c>
      <c r="R1879">
        <v>12</v>
      </c>
      <c r="S1879">
        <v>0</v>
      </c>
      <c r="T1879">
        <v>0</v>
      </c>
      <c r="U1879" s="1">
        <v>0</v>
      </c>
      <c r="V1879">
        <v>43.6</v>
      </c>
    </row>
    <row r="1880" spans="1:22" ht="15">
      <c r="A1880" s="4">
        <v>1873</v>
      </c>
      <c r="B1880">
        <v>547</v>
      </c>
      <c r="C1880" t="s">
        <v>4139</v>
      </c>
      <c r="D1880" t="s">
        <v>26</v>
      </c>
      <c r="E1880" t="s">
        <v>51</v>
      </c>
      <c r="F1880" t="s">
        <v>4140</v>
      </c>
      <c r="G1880" t="str">
        <f>"00511364"</f>
        <v>00511364</v>
      </c>
      <c r="H1880">
        <v>30.56</v>
      </c>
      <c r="I1880">
        <v>0</v>
      </c>
      <c r="M1880">
        <v>4</v>
      </c>
      <c r="N1880">
        <v>0</v>
      </c>
      <c r="O1880">
        <v>0</v>
      </c>
      <c r="P1880">
        <v>34.56</v>
      </c>
      <c r="Q1880">
        <v>0</v>
      </c>
      <c r="R1880">
        <v>0</v>
      </c>
      <c r="S1880">
        <v>9</v>
      </c>
      <c r="T1880">
        <v>0</v>
      </c>
      <c r="U1880" s="1">
        <v>0</v>
      </c>
      <c r="V1880">
        <v>43.56</v>
      </c>
    </row>
    <row r="1881" spans="1:22" ht="15">
      <c r="A1881" s="4">
        <v>1874</v>
      </c>
      <c r="B1881">
        <v>768</v>
      </c>
      <c r="C1881" t="s">
        <v>4141</v>
      </c>
      <c r="D1881" t="s">
        <v>124</v>
      </c>
      <c r="E1881" t="s">
        <v>51</v>
      </c>
      <c r="F1881" t="s">
        <v>4142</v>
      </c>
      <c r="G1881" t="str">
        <f>"00006560"</f>
        <v>00006560</v>
      </c>
      <c r="H1881">
        <v>14.4</v>
      </c>
      <c r="I1881">
        <v>0</v>
      </c>
      <c r="M1881">
        <v>4</v>
      </c>
      <c r="N1881">
        <v>0</v>
      </c>
      <c r="O1881">
        <v>0</v>
      </c>
      <c r="P1881">
        <v>18.4</v>
      </c>
      <c r="Q1881">
        <v>19</v>
      </c>
      <c r="R1881">
        <v>19</v>
      </c>
      <c r="S1881">
        <v>6</v>
      </c>
      <c r="T1881">
        <v>0</v>
      </c>
      <c r="U1881" s="1">
        <v>0</v>
      </c>
      <c r="V1881">
        <v>43.4</v>
      </c>
    </row>
    <row r="1882" spans="1:22" ht="15">
      <c r="A1882" s="4">
        <v>1875</v>
      </c>
      <c r="B1882">
        <v>2015</v>
      </c>
      <c r="C1882" t="s">
        <v>3524</v>
      </c>
      <c r="D1882" t="s">
        <v>93</v>
      </c>
      <c r="E1882" t="s">
        <v>90</v>
      </c>
      <c r="F1882" t="s">
        <v>4143</v>
      </c>
      <c r="G1882" t="str">
        <f>"00076181"</f>
        <v>00076181</v>
      </c>
      <c r="H1882">
        <v>14.4</v>
      </c>
      <c r="I1882">
        <v>0</v>
      </c>
      <c r="L1882">
        <v>4</v>
      </c>
      <c r="M1882">
        <v>4</v>
      </c>
      <c r="N1882">
        <v>4</v>
      </c>
      <c r="O1882">
        <v>0</v>
      </c>
      <c r="P1882">
        <v>22.4</v>
      </c>
      <c r="Q1882">
        <v>21</v>
      </c>
      <c r="R1882">
        <v>21</v>
      </c>
      <c r="S1882">
        <v>0</v>
      </c>
      <c r="T1882">
        <v>0</v>
      </c>
      <c r="U1882" s="1">
        <v>0</v>
      </c>
      <c r="V1882">
        <v>43.4</v>
      </c>
    </row>
    <row r="1883" spans="1:22" ht="15">
      <c r="A1883" s="4">
        <v>1876</v>
      </c>
      <c r="B1883">
        <v>1436</v>
      </c>
      <c r="C1883" t="s">
        <v>4144</v>
      </c>
      <c r="D1883" t="s">
        <v>4145</v>
      </c>
      <c r="E1883" t="s">
        <v>73</v>
      </c>
      <c r="F1883" t="s">
        <v>4146</v>
      </c>
      <c r="G1883" t="str">
        <f>"00531564"</f>
        <v>00531564</v>
      </c>
      <c r="H1883">
        <v>33.32</v>
      </c>
      <c r="I1883">
        <v>0</v>
      </c>
      <c r="M1883">
        <v>4</v>
      </c>
      <c r="N1883">
        <v>0</v>
      </c>
      <c r="O1883">
        <v>0</v>
      </c>
      <c r="P1883">
        <v>37.32</v>
      </c>
      <c r="Q1883">
        <v>0</v>
      </c>
      <c r="R1883">
        <v>0</v>
      </c>
      <c r="S1883">
        <v>6</v>
      </c>
      <c r="T1883">
        <v>0</v>
      </c>
      <c r="U1883" s="1">
        <v>0</v>
      </c>
      <c r="V1883">
        <v>43.32</v>
      </c>
    </row>
    <row r="1884" spans="1:22" ht="15">
      <c r="A1884" s="4">
        <v>1877</v>
      </c>
      <c r="B1884">
        <v>1076</v>
      </c>
      <c r="C1884" t="s">
        <v>4147</v>
      </c>
      <c r="D1884" t="s">
        <v>68</v>
      </c>
      <c r="E1884" t="s">
        <v>712</v>
      </c>
      <c r="F1884" t="s">
        <v>4148</v>
      </c>
      <c r="G1884" t="str">
        <f>"00529290"</f>
        <v>00529290</v>
      </c>
      <c r="H1884">
        <v>22.32</v>
      </c>
      <c r="I1884">
        <v>0</v>
      </c>
      <c r="M1884">
        <v>0</v>
      </c>
      <c r="N1884">
        <v>0</v>
      </c>
      <c r="O1884">
        <v>0</v>
      </c>
      <c r="P1884">
        <v>22.32</v>
      </c>
      <c r="Q1884">
        <v>15</v>
      </c>
      <c r="R1884">
        <v>15</v>
      </c>
      <c r="S1884">
        <v>6</v>
      </c>
      <c r="T1884">
        <v>0</v>
      </c>
      <c r="U1884" s="1">
        <v>0</v>
      </c>
      <c r="V1884">
        <v>43.32</v>
      </c>
    </row>
    <row r="1885" spans="1:22" ht="15">
      <c r="A1885" s="4">
        <v>1878</v>
      </c>
      <c r="B1885">
        <v>2295</v>
      </c>
      <c r="C1885" t="s">
        <v>4149</v>
      </c>
      <c r="D1885" t="s">
        <v>102</v>
      </c>
      <c r="E1885" t="s">
        <v>11</v>
      </c>
      <c r="F1885" t="s">
        <v>4150</v>
      </c>
      <c r="G1885" t="str">
        <f>"00229733"</f>
        <v>00229733</v>
      </c>
      <c r="H1885">
        <v>34.24</v>
      </c>
      <c r="I1885">
        <v>0</v>
      </c>
      <c r="M1885">
        <v>4</v>
      </c>
      <c r="N1885">
        <v>0</v>
      </c>
      <c r="O1885">
        <v>2</v>
      </c>
      <c r="P1885">
        <v>40.24</v>
      </c>
      <c r="Q1885">
        <v>0</v>
      </c>
      <c r="R1885">
        <v>0</v>
      </c>
      <c r="S1885">
        <v>3</v>
      </c>
      <c r="T1885">
        <v>0</v>
      </c>
      <c r="U1885" s="1">
        <v>0</v>
      </c>
      <c r="V1885">
        <v>43.24</v>
      </c>
    </row>
    <row r="1886" spans="1:22" ht="15">
      <c r="A1886" s="4">
        <v>1879</v>
      </c>
      <c r="B1886">
        <v>16</v>
      </c>
      <c r="C1886" t="s">
        <v>4151</v>
      </c>
      <c r="D1886" t="s">
        <v>273</v>
      </c>
      <c r="E1886" t="s">
        <v>4152</v>
      </c>
      <c r="F1886" t="s">
        <v>4153</v>
      </c>
      <c r="G1886" t="str">
        <f>"00453700"</f>
        <v>00453700</v>
      </c>
      <c r="H1886">
        <v>37.2</v>
      </c>
      <c r="I1886">
        <v>0</v>
      </c>
      <c r="M1886">
        <v>4</v>
      </c>
      <c r="N1886">
        <v>0</v>
      </c>
      <c r="O1886">
        <v>2</v>
      </c>
      <c r="P1886">
        <v>43.2</v>
      </c>
      <c r="Q1886">
        <v>0</v>
      </c>
      <c r="R1886">
        <v>0</v>
      </c>
      <c r="S1886">
        <v>0</v>
      </c>
      <c r="T1886">
        <v>0</v>
      </c>
      <c r="U1886" s="1">
        <v>0</v>
      </c>
      <c r="V1886">
        <v>43.2</v>
      </c>
    </row>
    <row r="1887" spans="1:22" ht="15">
      <c r="A1887" s="4">
        <v>1880</v>
      </c>
      <c r="B1887">
        <v>1660</v>
      </c>
      <c r="C1887" t="s">
        <v>4154</v>
      </c>
      <c r="D1887" t="s">
        <v>40</v>
      </c>
      <c r="E1887" t="s">
        <v>197</v>
      </c>
      <c r="F1887" t="s">
        <v>4155</v>
      </c>
      <c r="G1887" t="str">
        <f>"00509784"</f>
        <v>00509784</v>
      </c>
      <c r="H1887">
        <v>43.2</v>
      </c>
      <c r="I1887">
        <v>0</v>
      </c>
      <c r="M1887">
        <v>0</v>
      </c>
      <c r="N1887">
        <v>0</v>
      </c>
      <c r="O1887">
        <v>0</v>
      </c>
      <c r="P1887">
        <v>43.2</v>
      </c>
      <c r="Q1887">
        <v>0</v>
      </c>
      <c r="R1887">
        <v>0</v>
      </c>
      <c r="S1887">
        <v>0</v>
      </c>
      <c r="T1887">
        <v>0</v>
      </c>
      <c r="U1887" s="1">
        <v>0</v>
      </c>
      <c r="V1887">
        <v>43.2</v>
      </c>
    </row>
    <row r="1888" spans="1:22" ht="15">
      <c r="A1888" s="4">
        <v>1881</v>
      </c>
      <c r="B1888">
        <v>1829</v>
      </c>
      <c r="C1888" t="s">
        <v>4156</v>
      </c>
      <c r="D1888" t="s">
        <v>603</v>
      </c>
      <c r="E1888" t="s">
        <v>19</v>
      </c>
      <c r="F1888" t="s">
        <v>4157</v>
      </c>
      <c r="G1888" t="str">
        <f>"00528646"</f>
        <v>00528646</v>
      </c>
      <c r="H1888">
        <v>43.2</v>
      </c>
      <c r="I1888">
        <v>0</v>
      </c>
      <c r="M1888">
        <v>0</v>
      </c>
      <c r="N1888">
        <v>0</v>
      </c>
      <c r="O1888">
        <v>0</v>
      </c>
      <c r="P1888">
        <v>43.2</v>
      </c>
      <c r="Q1888">
        <v>0</v>
      </c>
      <c r="R1888">
        <v>0</v>
      </c>
      <c r="S1888">
        <v>0</v>
      </c>
      <c r="T1888">
        <v>0</v>
      </c>
      <c r="U1888" s="1">
        <v>0</v>
      </c>
      <c r="V1888">
        <v>43.2</v>
      </c>
    </row>
    <row r="1889" spans="1:22" ht="15">
      <c r="A1889" s="4">
        <v>1882</v>
      </c>
      <c r="B1889">
        <v>933</v>
      </c>
      <c r="C1889" t="s">
        <v>4158</v>
      </c>
      <c r="D1889" t="s">
        <v>945</v>
      </c>
      <c r="E1889" t="s">
        <v>4159</v>
      </c>
      <c r="F1889" t="s">
        <v>4160</v>
      </c>
      <c r="G1889" t="str">
        <f>"00528360"</f>
        <v>00528360</v>
      </c>
      <c r="H1889">
        <v>7.2</v>
      </c>
      <c r="I1889">
        <v>0</v>
      </c>
      <c r="M1889">
        <v>4</v>
      </c>
      <c r="N1889">
        <v>0</v>
      </c>
      <c r="O1889">
        <v>2</v>
      </c>
      <c r="P1889">
        <v>13.2</v>
      </c>
      <c r="Q1889">
        <v>18</v>
      </c>
      <c r="R1889">
        <v>18</v>
      </c>
      <c r="S1889">
        <v>12</v>
      </c>
      <c r="T1889">
        <v>0</v>
      </c>
      <c r="U1889" s="1">
        <v>0</v>
      </c>
      <c r="V1889">
        <v>43.2</v>
      </c>
    </row>
    <row r="1890" spans="1:22" ht="15">
      <c r="A1890" s="4">
        <v>1883</v>
      </c>
      <c r="B1890">
        <v>652</v>
      </c>
      <c r="C1890" t="s">
        <v>585</v>
      </c>
      <c r="D1890" t="s">
        <v>29</v>
      </c>
      <c r="E1890" t="s">
        <v>4161</v>
      </c>
      <c r="F1890" t="s">
        <v>4162</v>
      </c>
      <c r="G1890" t="str">
        <f>"00226265"</f>
        <v>00226265</v>
      </c>
      <c r="H1890">
        <v>35.2</v>
      </c>
      <c r="I1890">
        <v>0</v>
      </c>
      <c r="L1890">
        <v>4</v>
      </c>
      <c r="M1890">
        <v>4</v>
      </c>
      <c r="N1890">
        <v>4</v>
      </c>
      <c r="O1890">
        <v>0</v>
      </c>
      <c r="P1890">
        <v>43.2</v>
      </c>
      <c r="Q1890">
        <v>0</v>
      </c>
      <c r="R1890">
        <v>0</v>
      </c>
      <c r="S1890">
        <v>0</v>
      </c>
      <c r="T1890">
        <v>0</v>
      </c>
      <c r="U1890" s="1">
        <v>0</v>
      </c>
      <c r="V1890">
        <v>43.2</v>
      </c>
    </row>
    <row r="1891" spans="1:22" ht="15">
      <c r="A1891" s="4">
        <v>1884</v>
      </c>
      <c r="B1891">
        <v>2167</v>
      </c>
      <c r="C1891" t="s">
        <v>4163</v>
      </c>
      <c r="D1891" t="s">
        <v>14</v>
      </c>
      <c r="E1891" t="s">
        <v>73</v>
      </c>
      <c r="F1891" t="s">
        <v>4164</v>
      </c>
      <c r="G1891" t="str">
        <f>"00530420"</f>
        <v>00530420</v>
      </c>
      <c r="H1891">
        <v>43.2</v>
      </c>
      <c r="I1891">
        <v>0</v>
      </c>
      <c r="M1891">
        <v>0</v>
      </c>
      <c r="N1891">
        <v>0</v>
      </c>
      <c r="O1891">
        <v>0</v>
      </c>
      <c r="P1891">
        <v>43.2</v>
      </c>
      <c r="Q1891">
        <v>0</v>
      </c>
      <c r="R1891">
        <v>0</v>
      </c>
      <c r="S1891">
        <v>0</v>
      </c>
      <c r="T1891">
        <v>0</v>
      </c>
      <c r="U1891" s="1">
        <v>0</v>
      </c>
      <c r="V1891">
        <v>43.2</v>
      </c>
    </row>
    <row r="1892" spans="1:22" ht="15">
      <c r="A1892" s="4">
        <v>1885</v>
      </c>
      <c r="B1892">
        <v>2147</v>
      </c>
      <c r="C1892" t="s">
        <v>4165</v>
      </c>
      <c r="D1892" t="s">
        <v>4166</v>
      </c>
      <c r="E1892" t="s">
        <v>51</v>
      </c>
      <c r="F1892" t="s">
        <v>4167</v>
      </c>
      <c r="G1892" t="str">
        <f>"00012189"</f>
        <v>00012189</v>
      </c>
      <c r="H1892">
        <v>35.2</v>
      </c>
      <c r="I1892">
        <v>0</v>
      </c>
      <c r="L1892">
        <v>4</v>
      </c>
      <c r="M1892">
        <v>4</v>
      </c>
      <c r="N1892">
        <v>4</v>
      </c>
      <c r="O1892">
        <v>0</v>
      </c>
      <c r="P1892">
        <v>43.2</v>
      </c>
      <c r="Q1892">
        <v>0</v>
      </c>
      <c r="R1892">
        <v>0</v>
      </c>
      <c r="S1892">
        <v>0</v>
      </c>
      <c r="T1892">
        <v>0</v>
      </c>
      <c r="U1892" s="1">
        <v>0</v>
      </c>
      <c r="V1892">
        <v>43.2</v>
      </c>
    </row>
    <row r="1893" spans="1:22" ht="15">
      <c r="A1893" s="4">
        <v>1886</v>
      </c>
      <c r="B1893">
        <v>2171</v>
      </c>
      <c r="C1893" t="s">
        <v>4168</v>
      </c>
      <c r="D1893" t="s">
        <v>14</v>
      </c>
      <c r="E1893" t="s">
        <v>90</v>
      </c>
      <c r="F1893" t="s">
        <v>4169</v>
      </c>
      <c r="G1893" t="str">
        <f>"00313216"</f>
        <v>00313216</v>
      </c>
      <c r="H1893">
        <v>19.2</v>
      </c>
      <c r="I1893">
        <v>0</v>
      </c>
      <c r="M1893">
        <v>4</v>
      </c>
      <c r="N1893">
        <v>0</v>
      </c>
      <c r="O1893">
        <v>0</v>
      </c>
      <c r="P1893">
        <v>23.2</v>
      </c>
      <c r="Q1893">
        <v>8</v>
      </c>
      <c r="R1893">
        <v>8</v>
      </c>
      <c r="S1893">
        <v>12</v>
      </c>
      <c r="T1893">
        <v>0</v>
      </c>
      <c r="U1893" s="1">
        <v>0</v>
      </c>
      <c r="V1893">
        <v>43.2</v>
      </c>
    </row>
    <row r="1894" spans="1:22" ht="15">
      <c r="A1894" s="4">
        <v>1887</v>
      </c>
      <c r="B1894">
        <v>1758</v>
      </c>
      <c r="C1894" t="s">
        <v>4170</v>
      </c>
      <c r="D1894" t="s">
        <v>357</v>
      </c>
      <c r="E1894" t="s">
        <v>4171</v>
      </c>
      <c r="F1894" t="s">
        <v>4172</v>
      </c>
      <c r="G1894" t="str">
        <f>"00504736"</f>
        <v>00504736</v>
      </c>
      <c r="H1894">
        <v>43.2</v>
      </c>
      <c r="I1894">
        <v>0</v>
      </c>
      <c r="M1894">
        <v>0</v>
      </c>
      <c r="N1894">
        <v>0</v>
      </c>
      <c r="O1894">
        <v>0</v>
      </c>
      <c r="P1894">
        <v>43.2</v>
      </c>
      <c r="Q1894">
        <v>0</v>
      </c>
      <c r="R1894">
        <v>0</v>
      </c>
      <c r="S1894">
        <v>0</v>
      </c>
      <c r="T1894">
        <v>0</v>
      </c>
      <c r="U1894" s="1">
        <v>0</v>
      </c>
      <c r="V1894">
        <v>43.2</v>
      </c>
    </row>
    <row r="1895" spans="1:22" ht="15">
      <c r="A1895" s="4">
        <v>1888</v>
      </c>
      <c r="B1895">
        <v>3368</v>
      </c>
      <c r="C1895" t="s">
        <v>1215</v>
      </c>
      <c r="D1895" t="s">
        <v>273</v>
      </c>
      <c r="E1895" t="s">
        <v>157</v>
      </c>
      <c r="F1895" t="s">
        <v>4173</v>
      </c>
      <c r="G1895" t="str">
        <f>"00532397"</f>
        <v>00532397</v>
      </c>
      <c r="H1895">
        <v>43.2</v>
      </c>
      <c r="I1895">
        <v>0</v>
      </c>
      <c r="M1895">
        <v>0</v>
      </c>
      <c r="N1895">
        <v>0</v>
      </c>
      <c r="O1895">
        <v>0</v>
      </c>
      <c r="P1895">
        <v>43.2</v>
      </c>
      <c r="Q1895">
        <v>0</v>
      </c>
      <c r="R1895">
        <v>0</v>
      </c>
      <c r="S1895">
        <v>0</v>
      </c>
      <c r="T1895">
        <v>0</v>
      </c>
      <c r="U1895" s="1">
        <v>0</v>
      </c>
      <c r="V1895">
        <v>43.2</v>
      </c>
    </row>
    <row r="1896" spans="1:22" ht="15">
      <c r="A1896" s="4">
        <v>1889</v>
      </c>
      <c r="B1896">
        <v>2647</v>
      </c>
      <c r="C1896" t="s">
        <v>4174</v>
      </c>
      <c r="D1896" t="s">
        <v>273</v>
      </c>
      <c r="E1896" t="s">
        <v>317</v>
      </c>
      <c r="F1896" t="s">
        <v>4175</v>
      </c>
      <c r="G1896" t="str">
        <f>"00202089"</f>
        <v>00202089</v>
      </c>
      <c r="H1896">
        <v>21.16</v>
      </c>
      <c r="I1896">
        <v>0</v>
      </c>
      <c r="M1896">
        <v>0</v>
      </c>
      <c r="N1896">
        <v>0</v>
      </c>
      <c r="O1896">
        <v>0</v>
      </c>
      <c r="P1896">
        <v>21.16</v>
      </c>
      <c r="Q1896">
        <v>13</v>
      </c>
      <c r="R1896">
        <v>13</v>
      </c>
      <c r="S1896">
        <v>9</v>
      </c>
      <c r="T1896">
        <v>0</v>
      </c>
      <c r="U1896" s="1">
        <v>0</v>
      </c>
      <c r="V1896">
        <v>43.16</v>
      </c>
    </row>
    <row r="1897" spans="1:22" ht="15">
      <c r="A1897" s="4">
        <v>1890</v>
      </c>
      <c r="B1897">
        <v>1539</v>
      </c>
      <c r="C1897" t="s">
        <v>96</v>
      </c>
      <c r="D1897" t="s">
        <v>14</v>
      </c>
      <c r="E1897" t="s">
        <v>2470</v>
      </c>
      <c r="F1897" t="s">
        <v>4176</v>
      </c>
      <c r="G1897" t="str">
        <f>"201511022228"</f>
        <v>201511022228</v>
      </c>
      <c r="H1897">
        <v>39.12</v>
      </c>
      <c r="I1897">
        <v>0</v>
      </c>
      <c r="M1897">
        <v>4</v>
      </c>
      <c r="N1897">
        <v>0</v>
      </c>
      <c r="O1897">
        <v>0</v>
      </c>
      <c r="P1897">
        <v>43.12</v>
      </c>
      <c r="Q1897">
        <v>0</v>
      </c>
      <c r="R1897">
        <v>0</v>
      </c>
      <c r="S1897">
        <v>0</v>
      </c>
      <c r="T1897">
        <v>0</v>
      </c>
      <c r="U1897" s="1">
        <v>0</v>
      </c>
      <c r="V1897">
        <v>43.12</v>
      </c>
    </row>
    <row r="1898" spans="1:22" ht="15">
      <c r="A1898" s="4">
        <v>1891</v>
      </c>
      <c r="B1898">
        <v>772</v>
      </c>
      <c r="C1898" t="s">
        <v>1579</v>
      </c>
      <c r="D1898" t="s">
        <v>76</v>
      </c>
      <c r="E1898" t="s">
        <v>15</v>
      </c>
      <c r="F1898" t="s">
        <v>4177</v>
      </c>
      <c r="G1898" t="str">
        <f>"00455806"</f>
        <v>00455806</v>
      </c>
      <c r="H1898">
        <v>29.08</v>
      </c>
      <c r="I1898">
        <v>10</v>
      </c>
      <c r="M1898">
        <v>4</v>
      </c>
      <c r="N1898">
        <v>0</v>
      </c>
      <c r="O1898">
        <v>0</v>
      </c>
      <c r="P1898">
        <v>43.08</v>
      </c>
      <c r="Q1898">
        <v>0</v>
      </c>
      <c r="R1898">
        <v>0</v>
      </c>
      <c r="S1898">
        <v>0</v>
      </c>
      <c r="T1898">
        <v>0</v>
      </c>
      <c r="U1898" s="1">
        <v>0</v>
      </c>
      <c r="V1898">
        <v>43.08</v>
      </c>
    </row>
    <row r="1899" spans="1:22" ht="15">
      <c r="A1899" s="4">
        <v>1892</v>
      </c>
      <c r="B1899">
        <v>3021</v>
      </c>
      <c r="C1899" t="s">
        <v>2272</v>
      </c>
      <c r="D1899" t="s">
        <v>121</v>
      </c>
      <c r="E1899" t="s">
        <v>30</v>
      </c>
      <c r="F1899" t="s">
        <v>4178</v>
      </c>
      <c r="G1899" t="str">
        <f>"00035943"</f>
        <v>00035943</v>
      </c>
      <c r="H1899">
        <v>26</v>
      </c>
      <c r="I1899">
        <v>0</v>
      </c>
      <c r="L1899">
        <v>4</v>
      </c>
      <c r="M1899">
        <v>4</v>
      </c>
      <c r="N1899">
        <v>4</v>
      </c>
      <c r="O1899">
        <v>0</v>
      </c>
      <c r="P1899">
        <v>34</v>
      </c>
      <c r="Q1899">
        <v>0</v>
      </c>
      <c r="R1899">
        <v>0</v>
      </c>
      <c r="S1899">
        <v>9</v>
      </c>
      <c r="T1899">
        <v>0</v>
      </c>
      <c r="U1899" s="1">
        <v>0</v>
      </c>
      <c r="V1899">
        <v>43</v>
      </c>
    </row>
    <row r="1900" spans="1:22" ht="15">
      <c r="A1900" s="4">
        <v>1893</v>
      </c>
      <c r="B1900">
        <v>2600</v>
      </c>
      <c r="C1900" t="s">
        <v>4179</v>
      </c>
      <c r="D1900" t="s">
        <v>14</v>
      </c>
      <c r="E1900" t="s">
        <v>403</v>
      </c>
      <c r="F1900" t="s">
        <v>4180</v>
      </c>
      <c r="G1900" t="str">
        <f>"00433267"</f>
        <v>00433267</v>
      </c>
      <c r="H1900">
        <v>40</v>
      </c>
      <c r="I1900">
        <v>0</v>
      </c>
      <c r="M1900">
        <v>0</v>
      </c>
      <c r="N1900">
        <v>0</v>
      </c>
      <c r="O1900">
        <v>0</v>
      </c>
      <c r="P1900">
        <v>40</v>
      </c>
      <c r="Q1900">
        <v>0</v>
      </c>
      <c r="R1900">
        <v>0</v>
      </c>
      <c r="S1900">
        <v>3</v>
      </c>
      <c r="T1900">
        <v>0</v>
      </c>
      <c r="U1900" s="1">
        <v>0</v>
      </c>
      <c r="V1900">
        <v>43</v>
      </c>
    </row>
    <row r="1901" spans="1:22" ht="15">
      <c r="A1901" s="4">
        <v>1894</v>
      </c>
      <c r="B1901">
        <v>1975</v>
      </c>
      <c r="C1901" t="s">
        <v>4181</v>
      </c>
      <c r="D1901" t="s">
        <v>26</v>
      </c>
      <c r="E1901" t="s">
        <v>30</v>
      </c>
      <c r="F1901" t="s">
        <v>4182</v>
      </c>
      <c r="G1901" t="str">
        <f>"00532024"</f>
        <v>00532024</v>
      </c>
      <c r="H1901">
        <v>36</v>
      </c>
      <c r="I1901">
        <v>0</v>
      </c>
      <c r="M1901">
        <v>4</v>
      </c>
      <c r="N1901">
        <v>0</v>
      </c>
      <c r="O1901">
        <v>0</v>
      </c>
      <c r="P1901">
        <v>40</v>
      </c>
      <c r="Q1901">
        <v>0</v>
      </c>
      <c r="R1901">
        <v>0</v>
      </c>
      <c r="S1901">
        <v>3</v>
      </c>
      <c r="T1901">
        <v>0</v>
      </c>
      <c r="U1901" s="1">
        <v>0</v>
      </c>
      <c r="V1901">
        <v>43</v>
      </c>
    </row>
    <row r="1902" spans="1:22" ht="15">
      <c r="A1902" s="4">
        <v>1895</v>
      </c>
      <c r="B1902">
        <v>1064</v>
      </c>
      <c r="C1902" t="s">
        <v>4183</v>
      </c>
      <c r="D1902" t="s">
        <v>333</v>
      </c>
      <c r="E1902" t="s">
        <v>73</v>
      </c>
      <c r="F1902" t="s">
        <v>4184</v>
      </c>
      <c r="G1902" t="str">
        <f>"00531105"</f>
        <v>00531105</v>
      </c>
      <c r="H1902">
        <v>36</v>
      </c>
      <c r="I1902">
        <v>0</v>
      </c>
      <c r="M1902">
        <v>4</v>
      </c>
      <c r="N1902">
        <v>0</v>
      </c>
      <c r="O1902">
        <v>0</v>
      </c>
      <c r="P1902">
        <v>40</v>
      </c>
      <c r="Q1902">
        <v>0</v>
      </c>
      <c r="R1902">
        <v>0</v>
      </c>
      <c r="S1902">
        <v>3</v>
      </c>
      <c r="T1902">
        <v>0</v>
      </c>
      <c r="U1902" s="1">
        <v>0</v>
      </c>
      <c r="V1902">
        <v>43</v>
      </c>
    </row>
    <row r="1903" spans="1:22" ht="15">
      <c r="A1903" s="4">
        <v>1896</v>
      </c>
      <c r="B1903">
        <v>1341</v>
      </c>
      <c r="C1903" t="s">
        <v>1969</v>
      </c>
      <c r="D1903" t="s">
        <v>1133</v>
      </c>
      <c r="E1903" t="s">
        <v>403</v>
      </c>
      <c r="F1903" t="s">
        <v>4185</v>
      </c>
      <c r="G1903" t="str">
        <f>"201511015706"</f>
        <v>201511015706</v>
      </c>
      <c r="H1903">
        <v>36</v>
      </c>
      <c r="I1903">
        <v>0</v>
      </c>
      <c r="M1903">
        <v>4</v>
      </c>
      <c r="N1903">
        <v>0</v>
      </c>
      <c r="O1903">
        <v>0</v>
      </c>
      <c r="P1903">
        <v>40</v>
      </c>
      <c r="Q1903">
        <v>0</v>
      </c>
      <c r="R1903">
        <v>0</v>
      </c>
      <c r="S1903">
        <v>3</v>
      </c>
      <c r="T1903">
        <v>0</v>
      </c>
      <c r="U1903" s="1">
        <v>0</v>
      </c>
      <c r="V1903">
        <v>43</v>
      </c>
    </row>
    <row r="1904" spans="1:22" ht="15">
      <c r="A1904" s="4">
        <v>1897</v>
      </c>
      <c r="B1904">
        <v>2945</v>
      </c>
      <c r="C1904" t="s">
        <v>4186</v>
      </c>
      <c r="D1904" t="s">
        <v>89</v>
      </c>
      <c r="E1904" t="s">
        <v>30</v>
      </c>
      <c r="F1904" t="s">
        <v>4187</v>
      </c>
      <c r="G1904" t="str">
        <f>"00512900"</f>
        <v>00512900</v>
      </c>
      <c r="H1904">
        <v>30</v>
      </c>
      <c r="I1904">
        <v>0</v>
      </c>
      <c r="M1904">
        <v>4</v>
      </c>
      <c r="N1904">
        <v>0</v>
      </c>
      <c r="O1904">
        <v>0</v>
      </c>
      <c r="P1904">
        <v>34</v>
      </c>
      <c r="Q1904">
        <v>3</v>
      </c>
      <c r="R1904">
        <v>3</v>
      </c>
      <c r="S1904">
        <v>6</v>
      </c>
      <c r="T1904">
        <v>0</v>
      </c>
      <c r="U1904" s="1">
        <v>0</v>
      </c>
      <c r="V1904">
        <v>43</v>
      </c>
    </row>
    <row r="1905" spans="1:22" ht="15">
      <c r="A1905" s="4">
        <v>1898</v>
      </c>
      <c r="B1905">
        <v>587</v>
      </c>
      <c r="C1905" t="s">
        <v>4188</v>
      </c>
      <c r="D1905" t="s">
        <v>273</v>
      </c>
      <c r="E1905" t="s">
        <v>167</v>
      </c>
      <c r="F1905" t="s">
        <v>4189</v>
      </c>
      <c r="G1905" t="str">
        <f>"00509476"</f>
        <v>00509476</v>
      </c>
      <c r="H1905">
        <v>36</v>
      </c>
      <c r="I1905">
        <v>0</v>
      </c>
      <c r="M1905">
        <v>0</v>
      </c>
      <c r="N1905">
        <v>0</v>
      </c>
      <c r="O1905">
        <v>0</v>
      </c>
      <c r="P1905">
        <v>36</v>
      </c>
      <c r="Q1905">
        <v>4</v>
      </c>
      <c r="R1905">
        <v>4</v>
      </c>
      <c r="S1905">
        <v>3</v>
      </c>
      <c r="T1905">
        <v>0</v>
      </c>
      <c r="U1905" s="1">
        <v>0</v>
      </c>
      <c r="V1905">
        <v>43</v>
      </c>
    </row>
    <row r="1906" spans="1:22" ht="15">
      <c r="A1906" s="4">
        <v>1899</v>
      </c>
      <c r="B1906">
        <v>1846</v>
      </c>
      <c r="C1906" t="s">
        <v>2880</v>
      </c>
      <c r="D1906" t="s">
        <v>273</v>
      </c>
      <c r="E1906" t="s">
        <v>19</v>
      </c>
      <c r="F1906" t="s">
        <v>4190</v>
      </c>
      <c r="G1906" t="str">
        <f>"00481411"</f>
        <v>00481411</v>
      </c>
      <c r="H1906">
        <v>36</v>
      </c>
      <c r="I1906">
        <v>0</v>
      </c>
      <c r="M1906">
        <v>0</v>
      </c>
      <c r="N1906">
        <v>0</v>
      </c>
      <c r="O1906">
        <v>0</v>
      </c>
      <c r="P1906">
        <v>36</v>
      </c>
      <c r="Q1906">
        <v>7</v>
      </c>
      <c r="R1906">
        <v>7</v>
      </c>
      <c r="S1906">
        <v>0</v>
      </c>
      <c r="T1906">
        <v>0</v>
      </c>
      <c r="U1906" s="1">
        <v>0</v>
      </c>
      <c r="V1906">
        <v>43</v>
      </c>
    </row>
    <row r="1907" spans="1:22" ht="15">
      <c r="A1907" s="4">
        <v>1900</v>
      </c>
      <c r="B1907">
        <v>729</v>
      </c>
      <c r="C1907" t="s">
        <v>4191</v>
      </c>
      <c r="D1907" t="s">
        <v>68</v>
      </c>
      <c r="E1907" t="s">
        <v>23</v>
      </c>
      <c r="F1907" t="s">
        <v>4192</v>
      </c>
      <c r="G1907" t="str">
        <f>"00532074"</f>
        <v>00532074</v>
      </c>
      <c r="H1907">
        <v>36</v>
      </c>
      <c r="I1907">
        <v>0</v>
      </c>
      <c r="M1907">
        <v>4</v>
      </c>
      <c r="N1907">
        <v>0</v>
      </c>
      <c r="O1907">
        <v>0</v>
      </c>
      <c r="P1907">
        <v>40</v>
      </c>
      <c r="Q1907">
        <v>0</v>
      </c>
      <c r="R1907">
        <v>0</v>
      </c>
      <c r="S1907">
        <v>3</v>
      </c>
      <c r="T1907">
        <v>0</v>
      </c>
      <c r="U1907" s="1">
        <v>0</v>
      </c>
      <c r="V1907">
        <v>43</v>
      </c>
    </row>
    <row r="1908" spans="1:22" ht="15">
      <c r="A1908" s="4">
        <v>1901</v>
      </c>
      <c r="B1908">
        <v>2361</v>
      </c>
      <c r="C1908" t="s">
        <v>96</v>
      </c>
      <c r="D1908" t="s">
        <v>82</v>
      </c>
      <c r="E1908" t="s">
        <v>225</v>
      </c>
      <c r="F1908" t="s">
        <v>4193</v>
      </c>
      <c r="G1908" t="str">
        <f>"00532415"</f>
        <v>00532415</v>
      </c>
      <c r="H1908">
        <v>40</v>
      </c>
      <c r="I1908">
        <v>0</v>
      </c>
      <c r="M1908">
        <v>0</v>
      </c>
      <c r="N1908">
        <v>0</v>
      </c>
      <c r="O1908">
        <v>0</v>
      </c>
      <c r="P1908">
        <v>40</v>
      </c>
      <c r="Q1908">
        <v>0</v>
      </c>
      <c r="R1908">
        <v>0</v>
      </c>
      <c r="S1908">
        <v>3</v>
      </c>
      <c r="T1908">
        <v>0</v>
      </c>
      <c r="U1908" s="1">
        <v>0</v>
      </c>
      <c r="V1908">
        <v>43</v>
      </c>
    </row>
    <row r="1909" spans="1:22" ht="15">
      <c r="A1909" s="4">
        <v>1902</v>
      </c>
      <c r="B1909">
        <v>653</v>
      </c>
      <c r="C1909" t="s">
        <v>4194</v>
      </c>
      <c r="D1909" t="s">
        <v>4195</v>
      </c>
      <c r="E1909" t="s">
        <v>19</v>
      </c>
      <c r="F1909" t="s">
        <v>4196</v>
      </c>
      <c r="G1909" t="str">
        <f>"00511806"</f>
        <v>00511806</v>
      </c>
      <c r="H1909">
        <v>36</v>
      </c>
      <c r="I1909">
        <v>0</v>
      </c>
      <c r="M1909">
        <v>4</v>
      </c>
      <c r="N1909">
        <v>0</v>
      </c>
      <c r="O1909">
        <v>0</v>
      </c>
      <c r="P1909">
        <v>40</v>
      </c>
      <c r="Q1909">
        <v>0</v>
      </c>
      <c r="R1909">
        <v>0</v>
      </c>
      <c r="S1909">
        <v>3</v>
      </c>
      <c r="T1909">
        <v>0</v>
      </c>
      <c r="U1909" s="1">
        <v>0</v>
      </c>
      <c r="V1909">
        <v>43</v>
      </c>
    </row>
    <row r="1910" spans="1:22" ht="15">
      <c r="A1910" s="4">
        <v>1903</v>
      </c>
      <c r="B1910">
        <v>2102</v>
      </c>
      <c r="C1910" t="s">
        <v>4197</v>
      </c>
      <c r="D1910" t="s">
        <v>76</v>
      </c>
      <c r="E1910" t="s">
        <v>99</v>
      </c>
      <c r="F1910" t="s">
        <v>4198</v>
      </c>
      <c r="G1910" t="str">
        <f>"00529405"</f>
        <v>00529405</v>
      </c>
      <c r="H1910">
        <v>36</v>
      </c>
      <c r="I1910">
        <v>0</v>
      </c>
      <c r="M1910">
        <v>4</v>
      </c>
      <c r="N1910">
        <v>0</v>
      </c>
      <c r="O1910">
        <v>0</v>
      </c>
      <c r="P1910">
        <v>40</v>
      </c>
      <c r="Q1910">
        <v>0</v>
      </c>
      <c r="R1910">
        <v>0</v>
      </c>
      <c r="S1910">
        <v>3</v>
      </c>
      <c r="T1910">
        <v>0</v>
      </c>
      <c r="U1910" s="1">
        <v>0</v>
      </c>
      <c r="V1910">
        <v>43</v>
      </c>
    </row>
    <row r="1911" spans="1:22" ht="15">
      <c r="A1911" s="4">
        <v>1904</v>
      </c>
      <c r="B1911">
        <v>25</v>
      </c>
      <c r="C1911" t="s">
        <v>4199</v>
      </c>
      <c r="D1911" t="s">
        <v>29</v>
      </c>
      <c r="E1911" t="s">
        <v>90</v>
      </c>
      <c r="F1911" t="s">
        <v>4200</v>
      </c>
      <c r="G1911" t="str">
        <f>"00525367"</f>
        <v>00525367</v>
      </c>
      <c r="H1911">
        <v>36</v>
      </c>
      <c r="I1911">
        <v>0</v>
      </c>
      <c r="M1911">
        <v>4</v>
      </c>
      <c r="N1911">
        <v>0</v>
      </c>
      <c r="O1911">
        <v>0</v>
      </c>
      <c r="P1911">
        <v>40</v>
      </c>
      <c r="Q1911">
        <v>0</v>
      </c>
      <c r="R1911">
        <v>0</v>
      </c>
      <c r="S1911">
        <v>3</v>
      </c>
      <c r="T1911">
        <v>0</v>
      </c>
      <c r="U1911" s="1">
        <v>0</v>
      </c>
      <c r="V1911">
        <v>43</v>
      </c>
    </row>
    <row r="1912" spans="1:22" ht="15">
      <c r="A1912" s="4">
        <v>1905</v>
      </c>
      <c r="B1912">
        <v>3347</v>
      </c>
      <c r="C1912" t="s">
        <v>96</v>
      </c>
      <c r="D1912" t="s">
        <v>643</v>
      </c>
      <c r="E1912" t="s">
        <v>23</v>
      </c>
      <c r="F1912" t="s">
        <v>4201</v>
      </c>
      <c r="G1912" t="str">
        <f>"00532577"</f>
        <v>00532577</v>
      </c>
      <c r="H1912">
        <v>32.88</v>
      </c>
      <c r="I1912">
        <v>0</v>
      </c>
      <c r="M1912">
        <v>4</v>
      </c>
      <c r="N1912">
        <v>0</v>
      </c>
      <c r="O1912">
        <v>0</v>
      </c>
      <c r="P1912">
        <v>36.88</v>
      </c>
      <c r="Q1912">
        <v>0</v>
      </c>
      <c r="R1912">
        <v>0</v>
      </c>
      <c r="S1912">
        <v>6</v>
      </c>
      <c r="T1912">
        <v>0</v>
      </c>
      <c r="U1912" s="1">
        <v>0</v>
      </c>
      <c r="V1912">
        <v>42.88</v>
      </c>
    </row>
    <row r="1913" spans="1:22" ht="15">
      <c r="A1913" s="4">
        <v>1906</v>
      </c>
      <c r="B1913">
        <v>2413</v>
      </c>
      <c r="C1913" t="s">
        <v>4202</v>
      </c>
      <c r="D1913" t="s">
        <v>1262</v>
      </c>
      <c r="E1913" t="s">
        <v>23</v>
      </c>
      <c r="F1913" t="s">
        <v>4203</v>
      </c>
      <c r="G1913" t="str">
        <f>"00071756"</f>
        <v>00071756</v>
      </c>
      <c r="H1913">
        <v>38.84</v>
      </c>
      <c r="I1913">
        <v>0</v>
      </c>
      <c r="L1913">
        <v>4</v>
      </c>
      <c r="M1913">
        <v>0</v>
      </c>
      <c r="N1913">
        <v>4</v>
      </c>
      <c r="O1913">
        <v>0</v>
      </c>
      <c r="P1913">
        <v>42.84</v>
      </c>
      <c r="Q1913">
        <v>0</v>
      </c>
      <c r="R1913">
        <v>0</v>
      </c>
      <c r="S1913">
        <v>0</v>
      </c>
      <c r="T1913">
        <v>0</v>
      </c>
      <c r="U1913" s="1">
        <v>0</v>
      </c>
      <c r="V1913">
        <v>42.84</v>
      </c>
    </row>
    <row r="1914" spans="1:22" ht="15">
      <c r="A1914" s="4">
        <v>1907</v>
      </c>
      <c r="B1914">
        <v>442</v>
      </c>
      <c r="C1914" t="s">
        <v>735</v>
      </c>
      <c r="D1914" t="s">
        <v>4204</v>
      </c>
      <c r="E1914" t="s">
        <v>59</v>
      </c>
      <c r="F1914" t="s">
        <v>4205</v>
      </c>
      <c r="G1914" t="str">
        <f>"00523654"</f>
        <v>00523654</v>
      </c>
      <c r="H1914">
        <v>28.8</v>
      </c>
      <c r="I1914">
        <v>0</v>
      </c>
      <c r="L1914">
        <v>4</v>
      </c>
      <c r="M1914">
        <v>4</v>
      </c>
      <c r="N1914">
        <v>4</v>
      </c>
      <c r="O1914">
        <v>0</v>
      </c>
      <c r="P1914">
        <v>36.8</v>
      </c>
      <c r="Q1914">
        <v>6</v>
      </c>
      <c r="R1914">
        <v>6</v>
      </c>
      <c r="S1914">
        <v>0</v>
      </c>
      <c r="T1914">
        <v>0</v>
      </c>
      <c r="U1914" s="1">
        <v>0</v>
      </c>
      <c r="V1914">
        <v>42.8</v>
      </c>
    </row>
    <row r="1915" spans="1:22" ht="15">
      <c r="A1915" s="4">
        <v>1908</v>
      </c>
      <c r="B1915">
        <v>2509</v>
      </c>
      <c r="C1915" t="s">
        <v>4206</v>
      </c>
      <c r="D1915" t="s">
        <v>4207</v>
      </c>
      <c r="E1915" t="s">
        <v>4208</v>
      </c>
      <c r="F1915" t="s">
        <v>4209</v>
      </c>
      <c r="G1915" t="str">
        <f>"00517468"</f>
        <v>00517468</v>
      </c>
      <c r="H1915">
        <v>38.8</v>
      </c>
      <c r="I1915">
        <v>0</v>
      </c>
      <c r="L1915">
        <v>4</v>
      </c>
      <c r="M1915">
        <v>0</v>
      </c>
      <c r="N1915">
        <v>4</v>
      </c>
      <c r="O1915">
        <v>0</v>
      </c>
      <c r="P1915">
        <v>42.8</v>
      </c>
      <c r="Q1915">
        <v>0</v>
      </c>
      <c r="R1915">
        <v>0</v>
      </c>
      <c r="S1915">
        <v>0</v>
      </c>
      <c r="T1915">
        <v>0</v>
      </c>
      <c r="U1915" s="1">
        <v>0</v>
      </c>
      <c r="V1915">
        <v>42.8</v>
      </c>
    </row>
    <row r="1916" spans="1:22" ht="15">
      <c r="A1916" s="4">
        <v>1909</v>
      </c>
      <c r="B1916">
        <v>1369</v>
      </c>
      <c r="C1916" t="s">
        <v>4210</v>
      </c>
      <c r="D1916" t="s">
        <v>711</v>
      </c>
      <c r="E1916" t="s">
        <v>167</v>
      </c>
      <c r="F1916" t="s">
        <v>4211</v>
      </c>
      <c r="G1916" t="str">
        <f>"00524967"</f>
        <v>00524967</v>
      </c>
      <c r="H1916">
        <v>28.8</v>
      </c>
      <c r="I1916">
        <v>0</v>
      </c>
      <c r="M1916">
        <v>4</v>
      </c>
      <c r="N1916">
        <v>0</v>
      </c>
      <c r="O1916">
        <v>0</v>
      </c>
      <c r="P1916">
        <v>32.8</v>
      </c>
      <c r="Q1916">
        <v>7</v>
      </c>
      <c r="R1916">
        <v>7</v>
      </c>
      <c r="S1916">
        <v>3</v>
      </c>
      <c r="T1916">
        <v>0</v>
      </c>
      <c r="U1916" s="1">
        <v>0</v>
      </c>
      <c r="V1916">
        <v>42.8</v>
      </c>
    </row>
    <row r="1917" spans="1:22" ht="15">
      <c r="A1917" s="4">
        <v>1910</v>
      </c>
      <c r="B1917">
        <v>1885</v>
      </c>
      <c r="C1917" t="s">
        <v>413</v>
      </c>
      <c r="D1917" t="s">
        <v>40</v>
      </c>
      <c r="E1917" t="s">
        <v>83</v>
      </c>
      <c r="F1917" t="s">
        <v>4212</v>
      </c>
      <c r="G1917" t="str">
        <f>"00531977"</f>
        <v>00531977</v>
      </c>
      <c r="H1917">
        <v>28.8</v>
      </c>
      <c r="I1917">
        <v>0</v>
      </c>
      <c r="L1917">
        <v>4</v>
      </c>
      <c r="M1917">
        <v>4</v>
      </c>
      <c r="N1917">
        <v>4</v>
      </c>
      <c r="O1917">
        <v>0</v>
      </c>
      <c r="P1917">
        <v>36.8</v>
      </c>
      <c r="Q1917">
        <v>0</v>
      </c>
      <c r="R1917">
        <v>0</v>
      </c>
      <c r="S1917">
        <v>6</v>
      </c>
      <c r="T1917">
        <v>0</v>
      </c>
      <c r="U1917" s="1">
        <v>0</v>
      </c>
      <c r="V1917">
        <v>42.8</v>
      </c>
    </row>
    <row r="1918" spans="1:22" ht="15">
      <c r="A1918" s="4">
        <v>1911</v>
      </c>
      <c r="B1918">
        <v>3076</v>
      </c>
      <c r="C1918" t="s">
        <v>3501</v>
      </c>
      <c r="D1918" t="s">
        <v>975</v>
      </c>
      <c r="E1918" t="s">
        <v>4213</v>
      </c>
      <c r="F1918" t="s">
        <v>4214</v>
      </c>
      <c r="G1918" t="str">
        <f>"00534020"</f>
        <v>00534020</v>
      </c>
      <c r="H1918">
        <v>24.8</v>
      </c>
      <c r="I1918">
        <v>0</v>
      </c>
      <c r="M1918">
        <v>4</v>
      </c>
      <c r="N1918">
        <v>0</v>
      </c>
      <c r="O1918">
        <v>0</v>
      </c>
      <c r="P1918">
        <v>28.8</v>
      </c>
      <c r="Q1918">
        <v>8</v>
      </c>
      <c r="R1918">
        <v>8</v>
      </c>
      <c r="S1918">
        <v>6</v>
      </c>
      <c r="T1918">
        <v>0</v>
      </c>
      <c r="U1918" s="1">
        <v>0</v>
      </c>
      <c r="V1918">
        <v>42.8</v>
      </c>
    </row>
    <row r="1919" spans="1:22" ht="15">
      <c r="A1919" s="4">
        <v>1912</v>
      </c>
      <c r="B1919">
        <v>2829</v>
      </c>
      <c r="C1919" t="s">
        <v>4215</v>
      </c>
      <c r="D1919" t="s">
        <v>89</v>
      </c>
      <c r="E1919" t="s">
        <v>403</v>
      </c>
      <c r="F1919" t="s">
        <v>4216</v>
      </c>
      <c r="G1919" t="str">
        <f>"00504633"</f>
        <v>00504633</v>
      </c>
      <c r="H1919">
        <v>28.8</v>
      </c>
      <c r="I1919">
        <v>10</v>
      </c>
      <c r="M1919">
        <v>4</v>
      </c>
      <c r="N1919">
        <v>0</v>
      </c>
      <c r="O1919">
        <v>0</v>
      </c>
      <c r="P1919">
        <v>42.8</v>
      </c>
      <c r="Q1919">
        <v>0</v>
      </c>
      <c r="R1919">
        <v>0</v>
      </c>
      <c r="S1919">
        <v>0</v>
      </c>
      <c r="T1919">
        <v>0</v>
      </c>
      <c r="U1919" s="1">
        <v>0</v>
      </c>
      <c r="V1919">
        <v>42.8</v>
      </c>
    </row>
    <row r="1920" spans="1:22" ht="15">
      <c r="A1920" s="4">
        <v>1913</v>
      </c>
      <c r="B1920">
        <v>2316</v>
      </c>
      <c r="C1920" t="s">
        <v>4217</v>
      </c>
      <c r="D1920" t="s">
        <v>232</v>
      </c>
      <c r="E1920" t="s">
        <v>11</v>
      </c>
      <c r="F1920" t="s">
        <v>4218</v>
      </c>
      <c r="G1920" t="str">
        <f>"00531846"</f>
        <v>00531846</v>
      </c>
      <c r="H1920">
        <v>25.8</v>
      </c>
      <c r="I1920">
        <v>10</v>
      </c>
      <c r="M1920">
        <v>4</v>
      </c>
      <c r="N1920">
        <v>0</v>
      </c>
      <c r="O1920">
        <v>0</v>
      </c>
      <c r="P1920">
        <v>39.8</v>
      </c>
      <c r="Q1920">
        <v>0</v>
      </c>
      <c r="R1920">
        <v>0</v>
      </c>
      <c r="S1920">
        <v>3</v>
      </c>
      <c r="T1920">
        <v>0</v>
      </c>
      <c r="U1920" s="1">
        <v>0</v>
      </c>
      <c r="V1920">
        <v>42.8</v>
      </c>
    </row>
    <row r="1921" spans="1:22" ht="15">
      <c r="A1921" s="4">
        <v>1914</v>
      </c>
      <c r="B1921">
        <v>2063</v>
      </c>
      <c r="C1921" t="s">
        <v>4219</v>
      </c>
      <c r="D1921" t="s">
        <v>4220</v>
      </c>
      <c r="E1921" t="s">
        <v>4221</v>
      </c>
      <c r="F1921" t="s">
        <v>4222</v>
      </c>
      <c r="G1921" t="str">
        <f>"00523273"</f>
        <v>00523273</v>
      </c>
      <c r="H1921">
        <v>28.8</v>
      </c>
      <c r="I1921">
        <v>0</v>
      </c>
      <c r="L1921">
        <v>4</v>
      </c>
      <c r="M1921">
        <v>4</v>
      </c>
      <c r="N1921">
        <v>4</v>
      </c>
      <c r="O1921">
        <v>0</v>
      </c>
      <c r="P1921">
        <v>36.8</v>
      </c>
      <c r="Q1921">
        <v>0</v>
      </c>
      <c r="R1921">
        <v>0</v>
      </c>
      <c r="S1921">
        <v>6</v>
      </c>
      <c r="T1921">
        <v>0</v>
      </c>
      <c r="U1921" s="1">
        <v>0</v>
      </c>
      <c r="V1921">
        <v>42.8</v>
      </c>
    </row>
    <row r="1922" spans="1:22" ht="15">
      <c r="A1922" s="4">
        <v>1915</v>
      </c>
      <c r="B1922">
        <v>2680</v>
      </c>
      <c r="C1922" t="s">
        <v>4223</v>
      </c>
      <c r="D1922" t="s">
        <v>978</v>
      </c>
      <c r="E1922" t="s">
        <v>51</v>
      </c>
      <c r="F1922" t="s">
        <v>4224</v>
      </c>
      <c r="G1922" t="str">
        <f>"201511035709"</f>
        <v>201511035709</v>
      </c>
      <c r="H1922">
        <v>28.8</v>
      </c>
      <c r="I1922">
        <v>10</v>
      </c>
      <c r="M1922">
        <v>4</v>
      </c>
      <c r="N1922">
        <v>0</v>
      </c>
      <c r="O1922">
        <v>0</v>
      </c>
      <c r="P1922">
        <v>42.8</v>
      </c>
      <c r="Q1922">
        <v>0</v>
      </c>
      <c r="R1922">
        <v>0</v>
      </c>
      <c r="S1922">
        <v>0</v>
      </c>
      <c r="T1922">
        <v>0</v>
      </c>
      <c r="U1922" s="1">
        <v>0</v>
      </c>
      <c r="V1922">
        <v>42.8</v>
      </c>
    </row>
    <row r="1923" spans="1:22" ht="15">
      <c r="A1923" s="4">
        <v>1916</v>
      </c>
      <c r="B1923">
        <v>2002</v>
      </c>
      <c r="C1923" t="s">
        <v>4225</v>
      </c>
      <c r="D1923" t="s">
        <v>33</v>
      </c>
      <c r="E1923" t="s">
        <v>344</v>
      </c>
      <c r="F1923" t="s">
        <v>4226</v>
      </c>
      <c r="G1923" t="str">
        <f>"00502977"</f>
        <v>00502977</v>
      </c>
      <c r="H1923">
        <v>28.8</v>
      </c>
      <c r="I1923">
        <v>10</v>
      </c>
      <c r="L1923">
        <v>4</v>
      </c>
      <c r="M1923">
        <v>0</v>
      </c>
      <c r="N1923">
        <v>4</v>
      </c>
      <c r="O1923">
        <v>0</v>
      </c>
      <c r="P1923">
        <v>42.8</v>
      </c>
      <c r="Q1923">
        <v>0</v>
      </c>
      <c r="R1923">
        <v>0</v>
      </c>
      <c r="S1923">
        <v>0</v>
      </c>
      <c r="T1923">
        <v>0</v>
      </c>
      <c r="U1923" s="1">
        <v>0</v>
      </c>
      <c r="V1923">
        <v>42.8</v>
      </c>
    </row>
    <row r="1924" spans="1:22" ht="15">
      <c r="A1924" s="4">
        <v>1917</v>
      </c>
      <c r="B1924">
        <v>1788</v>
      </c>
      <c r="C1924" t="s">
        <v>4227</v>
      </c>
      <c r="D1924" t="s">
        <v>603</v>
      </c>
      <c r="E1924" t="s">
        <v>514</v>
      </c>
      <c r="F1924" t="s">
        <v>4228</v>
      </c>
      <c r="G1924" t="str">
        <f>"00515592"</f>
        <v>00515592</v>
      </c>
      <c r="H1924">
        <v>25.8</v>
      </c>
      <c r="I1924">
        <v>10</v>
      </c>
      <c r="M1924">
        <v>4</v>
      </c>
      <c r="N1924">
        <v>0</v>
      </c>
      <c r="O1924">
        <v>0</v>
      </c>
      <c r="P1924">
        <v>39.8</v>
      </c>
      <c r="Q1924">
        <v>3</v>
      </c>
      <c r="R1924">
        <v>3</v>
      </c>
      <c r="S1924">
        <v>0</v>
      </c>
      <c r="T1924">
        <v>0</v>
      </c>
      <c r="U1924" s="1">
        <v>0</v>
      </c>
      <c r="V1924">
        <v>42.8</v>
      </c>
    </row>
    <row r="1925" spans="1:22" ht="15">
      <c r="A1925" s="4">
        <v>1918</v>
      </c>
      <c r="B1925">
        <v>3191</v>
      </c>
      <c r="C1925" t="s">
        <v>4229</v>
      </c>
      <c r="D1925" t="s">
        <v>232</v>
      </c>
      <c r="E1925" t="s">
        <v>90</v>
      </c>
      <c r="F1925" t="s">
        <v>4230</v>
      </c>
      <c r="G1925" t="str">
        <f>"00532716"</f>
        <v>00532716</v>
      </c>
      <c r="H1925">
        <v>28.8</v>
      </c>
      <c r="I1925">
        <v>10</v>
      </c>
      <c r="M1925">
        <v>4</v>
      </c>
      <c r="N1925">
        <v>0</v>
      </c>
      <c r="O1925">
        <v>0</v>
      </c>
      <c r="P1925">
        <v>42.8</v>
      </c>
      <c r="Q1925">
        <v>0</v>
      </c>
      <c r="R1925">
        <v>0</v>
      </c>
      <c r="S1925">
        <v>0</v>
      </c>
      <c r="T1925">
        <v>0</v>
      </c>
      <c r="U1925" s="1">
        <v>0</v>
      </c>
      <c r="V1925">
        <v>42.8</v>
      </c>
    </row>
    <row r="1926" spans="1:22" ht="15">
      <c r="A1926" s="4">
        <v>1919</v>
      </c>
      <c r="B1926">
        <v>2790</v>
      </c>
      <c r="C1926" t="s">
        <v>4231</v>
      </c>
      <c r="D1926" t="s">
        <v>121</v>
      </c>
      <c r="E1926" t="s">
        <v>514</v>
      </c>
      <c r="F1926" t="s">
        <v>4232</v>
      </c>
      <c r="G1926" t="str">
        <f>"00529112"</f>
        <v>00529112</v>
      </c>
      <c r="H1926">
        <v>28.8</v>
      </c>
      <c r="I1926">
        <v>10</v>
      </c>
      <c r="L1926">
        <v>4</v>
      </c>
      <c r="M1926">
        <v>0</v>
      </c>
      <c r="N1926">
        <v>4</v>
      </c>
      <c r="O1926">
        <v>0</v>
      </c>
      <c r="P1926">
        <v>42.8</v>
      </c>
      <c r="Q1926">
        <v>0</v>
      </c>
      <c r="R1926">
        <v>0</v>
      </c>
      <c r="S1926">
        <v>0</v>
      </c>
      <c r="T1926">
        <v>0</v>
      </c>
      <c r="U1926" s="1">
        <v>0</v>
      </c>
      <c r="V1926">
        <v>42.8</v>
      </c>
    </row>
    <row r="1927" spans="1:22" ht="15">
      <c r="A1927" s="4">
        <v>1920</v>
      </c>
      <c r="B1927">
        <v>741</v>
      </c>
      <c r="C1927" t="s">
        <v>4233</v>
      </c>
      <c r="D1927" t="s">
        <v>582</v>
      </c>
      <c r="E1927" t="s">
        <v>11</v>
      </c>
      <c r="F1927" t="s">
        <v>4234</v>
      </c>
      <c r="G1927" t="str">
        <f>"00124997"</f>
        <v>00124997</v>
      </c>
      <c r="H1927">
        <v>28.8</v>
      </c>
      <c r="I1927">
        <v>0</v>
      </c>
      <c r="L1927">
        <v>4</v>
      </c>
      <c r="M1927">
        <v>4</v>
      </c>
      <c r="N1927">
        <v>4</v>
      </c>
      <c r="O1927">
        <v>0</v>
      </c>
      <c r="P1927">
        <v>36.8</v>
      </c>
      <c r="Q1927">
        <v>0</v>
      </c>
      <c r="R1927">
        <v>0</v>
      </c>
      <c r="S1927">
        <v>6</v>
      </c>
      <c r="T1927">
        <v>0</v>
      </c>
      <c r="U1927" s="1">
        <v>0</v>
      </c>
      <c r="V1927">
        <v>42.8</v>
      </c>
    </row>
    <row r="1928" spans="1:22" ht="15">
      <c r="A1928" s="4">
        <v>1921</v>
      </c>
      <c r="B1928">
        <v>1299</v>
      </c>
      <c r="C1928" t="s">
        <v>4235</v>
      </c>
      <c r="D1928" t="s">
        <v>160</v>
      </c>
      <c r="E1928" t="s">
        <v>197</v>
      </c>
      <c r="F1928" t="s">
        <v>4236</v>
      </c>
      <c r="G1928" t="str">
        <f>"00029481"</f>
        <v>00029481</v>
      </c>
      <c r="H1928">
        <v>34.76</v>
      </c>
      <c r="I1928">
        <v>0</v>
      </c>
      <c r="L1928">
        <v>4</v>
      </c>
      <c r="M1928">
        <v>4</v>
      </c>
      <c r="N1928">
        <v>4</v>
      </c>
      <c r="O1928">
        <v>0</v>
      </c>
      <c r="P1928">
        <v>42.76</v>
      </c>
      <c r="Q1928">
        <v>0</v>
      </c>
      <c r="R1928">
        <v>0</v>
      </c>
      <c r="S1928">
        <v>0</v>
      </c>
      <c r="T1928">
        <v>0</v>
      </c>
      <c r="U1928" s="1">
        <v>0</v>
      </c>
      <c r="V1928">
        <v>42.76</v>
      </c>
    </row>
    <row r="1929" spans="1:22" ht="15">
      <c r="A1929" s="4">
        <v>1922</v>
      </c>
      <c r="B1929">
        <v>1828</v>
      </c>
      <c r="C1929" t="s">
        <v>4237</v>
      </c>
      <c r="D1929" t="s">
        <v>4238</v>
      </c>
      <c r="E1929" t="s">
        <v>41</v>
      </c>
      <c r="F1929" t="s">
        <v>4239</v>
      </c>
      <c r="G1929" t="str">
        <f>"00507682"</f>
        <v>00507682</v>
      </c>
      <c r="H1929">
        <v>29.76</v>
      </c>
      <c r="I1929">
        <v>0</v>
      </c>
      <c r="L1929">
        <v>4</v>
      </c>
      <c r="M1929">
        <v>0</v>
      </c>
      <c r="N1929">
        <v>4</v>
      </c>
      <c r="O1929">
        <v>0</v>
      </c>
      <c r="P1929">
        <v>33.76</v>
      </c>
      <c r="Q1929">
        <v>6</v>
      </c>
      <c r="R1929">
        <v>6</v>
      </c>
      <c r="S1929">
        <v>3</v>
      </c>
      <c r="T1929">
        <v>0</v>
      </c>
      <c r="U1929" s="1">
        <v>0</v>
      </c>
      <c r="V1929">
        <v>42.76</v>
      </c>
    </row>
    <row r="1930" spans="1:22" ht="15">
      <c r="A1930" s="4">
        <v>1923</v>
      </c>
      <c r="B1930">
        <v>1833</v>
      </c>
      <c r="C1930" t="s">
        <v>4240</v>
      </c>
      <c r="D1930" t="s">
        <v>14</v>
      </c>
      <c r="E1930" t="s">
        <v>11</v>
      </c>
      <c r="F1930" t="s">
        <v>4241</v>
      </c>
      <c r="G1930" t="str">
        <f>"201510001306"</f>
        <v>201510001306</v>
      </c>
      <c r="H1930">
        <v>22.68</v>
      </c>
      <c r="I1930">
        <v>10</v>
      </c>
      <c r="M1930">
        <v>4</v>
      </c>
      <c r="N1930">
        <v>0</v>
      </c>
      <c r="O1930">
        <v>0</v>
      </c>
      <c r="P1930">
        <v>36.68</v>
      </c>
      <c r="Q1930">
        <v>3</v>
      </c>
      <c r="R1930">
        <v>3</v>
      </c>
      <c r="S1930">
        <v>3</v>
      </c>
      <c r="T1930">
        <v>0</v>
      </c>
      <c r="U1930" s="1">
        <v>0</v>
      </c>
      <c r="V1930">
        <v>42.68</v>
      </c>
    </row>
    <row r="1931" spans="1:22" ht="15">
      <c r="A1931" s="4">
        <v>1924</v>
      </c>
      <c r="B1931">
        <v>2620</v>
      </c>
      <c r="C1931" t="s">
        <v>1998</v>
      </c>
      <c r="D1931" t="s">
        <v>477</v>
      </c>
      <c r="E1931" t="s">
        <v>30</v>
      </c>
      <c r="F1931" t="s">
        <v>4242</v>
      </c>
      <c r="G1931" t="str">
        <f>"00532354"</f>
        <v>00532354</v>
      </c>
      <c r="H1931">
        <v>21.6</v>
      </c>
      <c r="I1931">
        <v>0</v>
      </c>
      <c r="M1931">
        <v>4</v>
      </c>
      <c r="N1931">
        <v>0</v>
      </c>
      <c r="O1931">
        <v>2</v>
      </c>
      <c r="P1931">
        <v>27.6</v>
      </c>
      <c r="Q1931">
        <v>12</v>
      </c>
      <c r="R1931">
        <v>12</v>
      </c>
      <c r="S1931">
        <v>3</v>
      </c>
      <c r="T1931">
        <v>0</v>
      </c>
      <c r="U1931" s="1">
        <v>0</v>
      </c>
      <c r="V1931">
        <v>42.6</v>
      </c>
    </row>
    <row r="1932" spans="1:22" ht="15">
      <c r="A1932" s="4">
        <v>1925</v>
      </c>
      <c r="B1932">
        <v>1622</v>
      </c>
      <c r="C1932" t="s">
        <v>4243</v>
      </c>
      <c r="D1932" t="s">
        <v>211</v>
      </c>
      <c r="E1932" t="s">
        <v>90</v>
      </c>
      <c r="F1932" t="s">
        <v>4244</v>
      </c>
      <c r="G1932" t="str">
        <f>"00512110"</f>
        <v>00512110</v>
      </c>
      <c r="H1932">
        <v>29.6</v>
      </c>
      <c r="I1932">
        <v>0</v>
      </c>
      <c r="M1932">
        <v>0</v>
      </c>
      <c r="N1932">
        <v>0</v>
      </c>
      <c r="O1932">
        <v>2</v>
      </c>
      <c r="P1932">
        <v>31.6</v>
      </c>
      <c r="Q1932">
        <v>11</v>
      </c>
      <c r="R1932">
        <v>11</v>
      </c>
      <c r="S1932">
        <v>0</v>
      </c>
      <c r="T1932">
        <v>0</v>
      </c>
      <c r="U1932" s="1">
        <v>0</v>
      </c>
      <c r="V1932">
        <v>42.6</v>
      </c>
    </row>
    <row r="1933" spans="1:22" ht="15">
      <c r="A1933" s="4">
        <v>1926</v>
      </c>
      <c r="B1933">
        <v>755</v>
      </c>
      <c r="C1933" t="s">
        <v>4245</v>
      </c>
      <c r="D1933" t="s">
        <v>40</v>
      </c>
      <c r="E1933" t="s">
        <v>4246</v>
      </c>
      <c r="F1933" t="s">
        <v>4247</v>
      </c>
      <c r="G1933" t="str">
        <f>"00092028"</f>
        <v>00092028</v>
      </c>
      <c r="H1933">
        <v>35.6</v>
      </c>
      <c r="I1933">
        <v>0</v>
      </c>
      <c r="M1933">
        <v>4</v>
      </c>
      <c r="N1933">
        <v>0</v>
      </c>
      <c r="O1933">
        <v>0</v>
      </c>
      <c r="P1933">
        <v>39.6</v>
      </c>
      <c r="Q1933">
        <v>0</v>
      </c>
      <c r="R1933">
        <v>0</v>
      </c>
      <c r="S1933">
        <v>3</v>
      </c>
      <c r="T1933">
        <v>0</v>
      </c>
      <c r="U1933" s="1">
        <v>0</v>
      </c>
      <c r="V1933">
        <v>42.6</v>
      </c>
    </row>
    <row r="1934" spans="1:22" ht="15">
      <c r="A1934" s="4">
        <v>1927</v>
      </c>
      <c r="B1934">
        <v>426</v>
      </c>
      <c r="C1934" t="s">
        <v>1898</v>
      </c>
      <c r="D1934" t="s">
        <v>2456</v>
      </c>
      <c r="E1934" t="s">
        <v>11</v>
      </c>
      <c r="F1934" t="s">
        <v>4248</v>
      </c>
      <c r="G1934" t="str">
        <f>"201402001153"</f>
        <v>201402001153</v>
      </c>
      <c r="H1934">
        <v>39.6</v>
      </c>
      <c r="I1934">
        <v>0</v>
      </c>
      <c r="M1934">
        <v>0</v>
      </c>
      <c r="N1934">
        <v>0</v>
      </c>
      <c r="O1934">
        <v>0</v>
      </c>
      <c r="P1934">
        <v>39.6</v>
      </c>
      <c r="Q1934">
        <v>0</v>
      </c>
      <c r="R1934">
        <v>0</v>
      </c>
      <c r="S1934">
        <v>3</v>
      </c>
      <c r="T1934">
        <v>0</v>
      </c>
      <c r="U1934" s="1">
        <v>0</v>
      </c>
      <c r="V1934">
        <v>42.6</v>
      </c>
    </row>
    <row r="1935" spans="1:22" ht="15">
      <c r="A1935" s="4">
        <v>1928</v>
      </c>
      <c r="B1935">
        <v>981</v>
      </c>
      <c r="C1935" t="s">
        <v>4249</v>
      </c>
      <c r="D1935" t="s">
        <v>179</v>
      </c>
      <c r="E1935" t="s">
        <v>15</v>
      </c>
      <c r="F1935" t="s">
        <v>4250</v>
      </c>
      <c r="G1935" t="str">
        <f>"201511023880"</f>
        <v>201511023880</v>
      </c>
      <c r="H1935">
        <v>27.6</v>
      </c>
      <c r="I1935">
        <v>0</v>
      </c>
      <c r="K1935">
        <v>6</v>
      </c>
      <c r="M1935">
        <v>0</v>
      </c>
      <c r="N1935">
        <v>6</v>
      </c>
      <c r="O1935">
        <v>0</v>
      </c>
      <c r="P1935">
        <v>33.6</v>
      </c>
      <c r="Q1935">
        <v>9</v>
      </c>
      <c r="R1935">
        <v>9</v>
      </c>
      <c r="S1935">
        <v>0</v>
      </c>
      <c r="T1935">
        <v>0</v>
      </c>
      <c r="U1935" s="1">
        <v>0</v>
      </c>
      <c r="V1935">
        <v>42.6</v>
      </c>
    </row>
    <row r="1936" spans="1:22" ht="15">
      <c r="A1936" s="4">
        <v>1929</v>
      </c>
      <c r="B1936">
        <v>2141</v>
      </c>
      <c r="C1936" t="s">
        <v>607</v>
      </c>
      <c r="D1936" t="s">
        <v>511</v>
      </c>
      <c r="E1936" t="s">
        <v>51</v>
      </c>
      <c r="F1936" t="s">
        <v>4251</v>
      </c>
      <c r="G1936" t="str">
        <f>"00530016"</f>
        <v>00530016</v>
      </c>
      <c r="H1936">
        <v>16.56</v>
      </c>
      <c r="I1936">
        <v>0</v>
      </c>
      <c r="M1936">
        <v>4</v>
      </c>
      <c r="N1936">
        <v>0</v>
      </c>
      <c r="O1936">
        <v>0</v>
      </c>
      <c r="P1936">
        <v>20.56</v>
      </c>
      <c r="Q1936">
        <v>16</v>
      </c>
      <c r="R1936">
        <v>16</v>
      </c>
      <c r="S1936">
        <v>6</v>
      </c>
      <c r="T1936">
        <v>0</v>
      </c>
      <c r="U1936" s="1">
        <v>0</v>
      </c>
      <c r="V1936">
        <v>42.56</v>
      </c>
    </row>
    <row r="1937" spans="1:22" ht="15">
      <c r="A1937" s="4">
        <v>1930</v>
      </c>
      <c r="B1937">
        <v>1993</v>
      </c>
      <c r="C1937" t="s">
        <v>3830</v>
      </c>
      <c r="D1937" t="s">
        <v>82</v>
      </c>
      <c r="E1937" t="s">
        <v>23</v>
      </c>
      <c r="F1937" t="s">
        <v>4252</v>
      </c>
      <c r="G1937" t="str">
        <f>"201511020232"</f>
        <v>201511020232</v>
      </c>
      <c r="H1937">
        <v>29.52</v>
      </c>
      <c r="I1937">
        <v>0</v>
      </c>
      <c r="M1937">
        <v>4</v>
      </c>
      <c r="N1937">
        <v>0</v>
      </c>
      <c r="O1937">
        <v>0</v>
      </c>
      <c r="P1937">
        <v>33.52</v>
      </c>
      <c r="Q1937">
        <v>0</v>
      </c>
      <c r="R1937">
        <v>0</v>
      </c>
      <c r="S1937">
        <v>9</v>
      </c>
      <c r="T1937">
        <v>0</v>
      </c>
      <c r="U1937" s="1">
        <v>0</v>
      </c>
      <c r="V1937">
        <v>42.52</v>
      </c>
    </row>
    <row r="1938" spans="1:22" ht="15">
      <c r="A1938" s="4">
        <v>1931</v>
      </c>
      <c r="B1938">
        <v>419</v>
      </c>
      <c r="C1938" t="s">
        <v>2615</v>
      </c>
      <c r="D1938" t="s">
        <v>89</v>
      </c>
      <c r="E1938" t="s">
        <v>157</v>
      </c>
      <c r="F1938" t="s">
        <v>4253</v>
      </c>
      <c r="G1938" t="str">
        <f>"00503848"</f>
        <v>00503848</v>
      </c>
      <c r="H1938">
        <v>17.44</v>
      </c>
      <c r="I1938">
        <v>0</v>
      </c>
      <c r="M1938">
        <v>0</v>
      </c>
      <c r="N1938">
        <v>0</v>
      </c>
      <c r="O1938">
        <v>0</v>
      </c>
      <c r="P1938">
        <v>17.44</v>
      </c>
      <c r="Q1938">
        <v>19</v>
      </c>
      <c r="R1938">
        <v>19</v>
      </c>
      <c r="S1938">
        <v>6</v>
      </c>
      <c r="T1938">
        <v>0</v>
      </c>
      <c r="U1938" s="1">
        <v>0</v>
      </c>
      <c r="V1938">
        <v>42.44</v>
      </c>
    </row>
    <row r="1939" spans="1:22" ht="15">
      <c r="A1939" s="4">
        <v>1932</v>
      </c>
      <c r="B1939">
        <v>1810</v>
      </c>
      <c r="C1939" t="s">
        <v>4254</v>
      </c>
      <c r="D1939" t="s">
        <v>179</v>
      </c>
      <c r="E1939" t="s">
        <v>90</v>
      </c>
      <c r="F1939" t="s">
        <v>4255</v>
      </c>
      <c r="G1939" t="str">
        <f>"00529785"</f>
        <v>00529785</v>
      </c>
      <c r="H1939">
        <v>14.4</v>
      </c>
      <c r="I1939">
        <v>0</v>
      </c>
      <c r="M1939">
        <v>4</v>
      </c>
      <c r="N1939">
        <v>0</v>
      </c>
      <c r="O1939">
        <v>0</v>
      </c>
      <c r="P1939">
        <v>18.4</v>
      </c>
      <c r="Q1939">
        <v>24</v>
      </c>
      <c r="R1939">
        <v>24</v>
      </c>
      <c r="S1939">
        <v>0</v>
      </c>
      <c r="T1939">
        <v>0</v>
      </c>
      <c r="U1939" s="1">
        <v>0</v>
      </c>
      <c r="V1939">
        <v>42.4</v>
      </c>
    </row>
    <row r="1940" spans="1:22" ht="15">
      <c r="A1940" s="4">
        <v>1933</v>
      </c>
      <c r="B1940">
        <v>938</v>
      </c>
      <c r="C1940" t="s">
        <v>4256</v>
      </c>
      <c r="D1940" t="s">
        <v>1034</v>
      </c>
      <c r="E1940" t="s">
        <v>90</v>
      </c>
      <c r="F1940" t="s">
        <v>4257</v>
      </c>
      <c r="G1940" t="str">
        <f>"00150422"</f>
        <v>00150422</v>
      </c>
      <c r="H1940">
        <v>14.4</v>
      </c>
      <c r="I1940">
        <v>0</v>
      </c>
      <c r="M1940">
        <v>0</v>
      </c>
      <c r="N1940">
        <v>0</v>
      </c>
      <c r="O1940">
        <v>0</v>
      </c>
      <c r="P1940">
        <v>14.4</v>
      </c>
      <c r="Q1940">
        <v>22</v>
      </c>
      <c r="R1940">
        <v>22</v>
      </c>
      <c r="S1940">
        <v>6</v>
      </c>
      <c r="T1940">
        <v>0</v>
      </c>
      <c r="U1940" s="1">
        <v>0</v>
      </c>
      <c r="V1940">
        <v>42.4</v>
      </c>
    </row>
    <row r="1941" spans="1:22" ht="15">
      <c r="A1941" s="4">
        <v>1934</v>
      </c>
      <c r="B1941">
        <v>1490</v>
      </c>
      <c r="C1941" t="s">
        <v>4258</v>
      </c>
      <c r="D1941" t="s">
        <v>76</v>
      </c>
      <c r="E1941" t="s">
        <v>11</v>
      </c>
      <c r="F1941" t="s">
        <v>4259</v>
      </c>
      <c r="G1941" t="str">
        <f>"00528569"</f>
        <v>00528569</v>
      </c>
      <c r="H1941">
        <v>14.4</v>
      </c>
      <c r="I1941">
        <v>0</v>
      </c>
      <c r="J1941">
        <v>8</v>
      </c>
      <c r="M1941">
        <v>4</v>
      </c>
      <c r="N1941">
        <v>8</v>
      </c>
      <c r="O1941">
        <v>0</v>
      </c>
      <c r="P1941">
        <v>26.4</v>
      </c>
      <c r="Q1941">
        <v>16</v>
      </c>
      <c r="R1941">
        <v>16</v>
      </c>
      <c r="S1941">
        <v>0</v>
      </c>
      <c r="T1941">
        <v>0</v>
      </c>
      <c r="U1941" s="1">
        <v>0</v>
      </c>
      <c r="V1941">
        <v>42.4</v>
      </c>
    </row>
    <row r="1942" spans="1:22" ht="15">
      <c r="A1942" s="4">
        <v>1935</v>
      </c>
      <c r="B1942">
        <v>597</v>
      </c>
      <c r="C1942" t="s">
        <v>2512</v>
      </c>
      <c r="D1942" t="s">
        <v>179</v>
      </c>
      <c r="E1942" t="s">
        <v>19</v>
      </c>
      <c r="F1942" t="s">
        <v>4260</v>
      </c>
      <c r="G1942" t="str">
        <f>"00481013"</f>
        <v>00481013</v>
      </c>
      <c r="H1942">
        <v>14.4</v>
      </c>
      <c r="I1942">
        <v>0</v>
      </c>
      <c r="M1942">
        <v>0</v>
      </c>
      <c r="N1942">
        <v>0</v>
      </c>
      <c r="O1942">
        <v>0</v>
      </c>
      <c r="P1942">
        <v>14.4</v>
      </c>
      <c r="Q1942">
        <v>28</v>
      </c>
      <c r="R1942">
        <v>28</v>
      </c>
      <c r="S1942">
        <v>0</v>
      </c>
      <c r="T1942">
        <v>0</v>
      </c>
      <c r="U1942" s="1">
        <v>0</v>
      </c>
      <c r="V1942">
        <v>42.4</v>
      </c>
    </row>
    <row r="1943" spans="1:22" ht="15">
      <c r="A1943" s="4">
        <v>1936</v>
      </c>
      <c r="B1943">
        <v>1950</v>
      </c>
      <c r="C1943" t="s">
        <v>4261</v>
      </c>
      <c r="D1943" t="s">
        <v>72</v>
      </c>
      <c r="E1943" t="s">
        <v>11</v>
      </c>
      <c r="F1943" t="s">
        <v>4262</v>
      </c>
      <c r="G1943" t="str">
        <f>"00506435"</f>
        <v>00506435</v>
      </c>
      <c r="H1943">
        <v>36.36</v>
      </c>
      <c r="I1943">
        <v>0</v>
      </c>
      <c r="M1943">
        <v>0</v>
      </c>
      <c r="N1943">
        <v>0</v>
      </c>
      <c r="O1943">
        <v>0</v>
      </c>
      <c r="P1943">
        <v>36.36</v>
      </c>
      <c r="Q1943">
        <v>0</v>
      </c>
      <c r="R1943">
        <v>0</v>
      </c>
      <c r="S1943">
        <v>6</v>
      </c>
      <c r="T1943">
        <v>0</v>
      </c>
      <c r="U1943" s="1">
        <v>0</v>
      </c>
      <c r="V1943">
        <v>42.36</v>
      </c>
    </row>
    <row r="1944" spans="1:22" ht="15">
      <c r="A1944" s="4">
        <v>1937</v>
      </c>
      <c r="B1944">
        <v>3128</v>
      </c>
      <c r="C1944" t="s">
        <v>1830</v>
      </c>
      <c r="D1944" t="s">
        <v>121</v>
      </c>
      <c r="E1944" t="s">
        <v>317</v>
      </c>
      <c r="F1944" t="s">
        <v>4263</v>
      </c>
      <c r="G1944" t="str">
        <f>"00530528"</f>
        <v>00530528</v>
      </c>
      <c r="H1944">
        <v>29.32</v>
      </c>
      <c r="I1944">
        <v>0</v>
      </c>
      <c r="M1944">
        <v>4</v>
      </c>
      <c r="N1944">
        <v>0</v>
      </c>
      <c r="O1944">
        <v>0</v>
      </c>
      <c r="P1944">
        <v>33.32</v>
      </c>
      <c r="Q1944">
        <v>0</v>
      </c>
      <c r="R1944">
        <v>0</v>
      </c>
      <c r="S1944">
        <v>9</v>
      </c>
      <c r="T1944">
        <v>0</v>
      </c>
      <c r="U1944" s="1">
        <v>0</v>
      </c>
      <c r="V1944">
        <v>42.32</v>
      </c>
    </row>
    <row r="1945" spans="1:22" ht="15">
      <c r="A1945" s="4">
        <v>1938</v>
      </c>
      <c r="B1945">
        <v>959</v>
      </c>
      <c r="C1945" t="s">
        <v>4264</v>
      </c>
      <c r="D1945" t="s">
        <v>82</v>
      </c>
      <c r="E1945" t="s">
        <v>65</v>
      </c>
      <c r="F1945" t="s">
        <v>4265</v>
      </c>
      <c r="G1945" t="str">
        <f>"00404541"</f>
        <v>00404541</v>
      </c>
      <c r="H1945">
        <v>32.28</v>
      </c>
      <c r="I1945">
        <v>0</v>
      </c>
      <c r="M1945">
        <v>4</v>
      </c>
      <c r="N1945">
        <v>0</v>
      </c>
      <c r="O1945">
        <v>0</v>
      </c>
      <c r="P1945">
        <v>36.28</v>
      </c>
      <c r="Q1945">
        <v>0</v>
      </c>
      <c r="R1945">
        <v>0</v>
      </c>
      <c r="S1945">
        <v>6</v>
      </c>
      <c r="T1945">
        <v>0</v>
      </c>
      <c r="U1945" s="1">
        <v>0</v>
      </c>
      <c r="V1945">
        <v>42.28</v>
      </c>
    </row>
    <row r="1946" spans="1:22" ht="15">
      <c r="A1946" s="4">
        <v>1939</v>
      </c>
      <c r="B1946">
        <v>2531</v>
      </c>
      <c r="C1946" t="s">
        <v>309</v>
      </c>
      <c r="D1946" t="s">
        <v>4266</v>
      </c>
      <c r="E1946" t="s">
        <v>19</v>
      </c>
      <c r="F1946" t="s">
        <v>4267</v>
      </c>
      <c r="G1946" t="str">
        <f>"00531778"</f>
        <v>00531778</v>
      </c>
      <c r="H1946">
        <v>30.2</v>
      </c>
      <c r="I1946">
        <v>0</v>
      </c>
      <c r="M1946">
        <v>4</v>
      </c>
      <c r="N1946">
        <v>0</v>
      </c>
      <c r="O1946">
        <v>0</v>
      </c>
      <c r="P1946">
        <v>34.2</v>
      </c>
      <c r="Q1946">
        <v>8</v>
      </c>
      <c r="R1946">
        <v>8</v>
      </c>
      <c r="S1946">
        <v>0</v>
      </c>
      <c r="T1946">
        <v>0</v>
      </c>
      <c r="U1946" s="1">
        <v>0</v>
      </c>
      <c r="V1946">
        <v>42.2</v>
      </c>
    </row>
    <row r="1947" spans="1:22" ht="15">
      <c r="A1947" s="4">
        <v>1940</v>
      </c>
      <c r="B1947">
        <v>33</v>
      </c>
      <c r="C1947" t="s">
        <v>4268</v>
      </c>
      <c r="D1947" t="s">
        <v>14</v>
      </c>
      <c r="E1947" t="s">
        <v>4269</v>
      </c>
      <c r="F1947" t="s">
        <v>4270</v>
      </c>
      <c r="G1947" t="str">
        <f>"00507561"</f>
        <v>00507561</v>
      </c>
      <c r="H1947">
        <v>26.2</v>
      </c>
      <c r="I1947">
        <v>0</v>
      </c>
      <c r="M1947">
        <v>0</v>
      </c>
      <c r="N1947">
        <v>0</v>
      </c>
      <c r="O1947">
        <v>0</v>
      </c>
      <c r="P1947">
        <v>26.2</v>
      </c>
      <c r="Q1947">
        <v>16</v>
      </c>
      <c r="R1947">
        <v>16</v>
      </c>
      <c r="S1947">
        <v>0</v>
      </c>
      <c r="T1947">
        <v>0</v>
      </c>
      <c r="U1947" s="1">
        <v>0</v>
      </c>
      <c r="V1947">
        <v>42.2</v>
      </c>
    </row>
    <row r="1948" spans="1:22" ht="15">
      <c r="A1948" s="4">
        <v>1941</v>
      </c>
      <c r="B1948">
        <v>605</v>
      </c>
      <c r="C1948" t="s">
        <v>4271</v>
      </c>
      <c r="D1948" t="s">
        <v>89</v>
      </c>
      <c r="E1948" t="s">
        <v>73</v>
      </c>
      <c r="F1948" t="s">
        <v>4272</v>
      </c>
      <c r="G1948" t="str">
        <f>"00479735"</f>
        <v>00479735</v>
      </c>
      <c r="H1948">
        <v>37.2</v>
      </c>
      <c r="I1948">
        <v>0</v>
      </c>
      <c r="M1948">
        <v>0</v>
      </c>
      <c r="N1948">
        <v>0</v>
      </c>
      <c r="O1948">
        <v>0</v>
      </c>
      <c r="P1948">
        <v>37.2</v>
      </c>
      <c r="Q1948">
        <v>5</v>
      </c>
      <c r="R1948">
        <v>5</v>
      </c>
      <c r="S1948">
        <v>0</v>
      </c>
      <c r="T1948">
        <v>0</v>
      </c>
      <c r="U1948" s="1">
        <v>0</v>
      </c>
      <c r="V1948">
        <v>42.2</v>
      </c>
    </row>
    <row r="1949" spans="1:22" ht="15">
      <c r="A1949" s="4">
        <v>1942</v>
      </c>
      <c r="B1949">
        <v>1120</v>
      </c>
      <c r="C1949" t="s">
        <v>4273</v>
      </c>
      <c r="D1949" t="s">
        <v>14</v>
      </c>
      <c r="E1949" t="s">
        <v>514</v>
      </c>
      <c r="F1949" t="s">
        <v>4274</v>
      </c>
      <c r="G1949" t="str">
        <f>"00441844"</f>
        <v>00441844</v>
      </c>
      <c r="H1949">
        <v>29.08</v>
      </c>
      <c r="I1949">
        <v>0</v>
      </c>
      <c r="M1949">
        <v>4</v>
      </c>
      <c r="N1949">
        <v>0</v>
      </c>
      <c r="O1949">
        <v>0</v>
      </c>
      <c r="P1949">
        <v>33.08</v>
      </c>
      <c r="Q1949">
        <v>6</v>
      </c>
      <c r="R1949">
        <v>6</v>
      </c>
      <c r="S1949">
        <v>3</v>
      </c>
      <c r="T1949">
        <v>0</v>
      </c>
      <c r="U1949" s="1">
        <v>0</v>
      </c>
      <c r="V1949">
        <v>42.08</v>
      </c>
    </row>
    <row r="1950" spans="1:22" ht="15">
      <c r="A1950" s="4">
        <v>1943</v>
      </c>
      <c r="B1950">
        <v>2634</v>
      </c>
      <c r="C1950" t="s">
        <v>377</v>
      </c>
      <c r="D1950" t="s">
        <v>89</v>
      </c>
      <c r="E1950" t="s">
        <v>317</v>
      </c>
      <c r="F1950" t="s">
        <v>4275</v>
      </c>
      <c r="G1950" t="str">
        <f>"00525304"</f>
        <v>00525304</v>
      </c>
      <c r="H1950">
        <v>36</v>
      </c>
      <c r="I1950">
        <v>0</v>
      </c>
      <c r="M1950">
        <v>0</v>
      </c>
      <c r="N1950">
        <v>0</v>
      </c>
      <c r="O1950">
        <v>0</v>
      </c>
      <c r="P1950">
        <v>36</v>
      </c>
      <c r="Q1950">
        <v>0</v>
      </c>
      <c r="R1950">
        <v>0</v>
      </c>
      <c r="S1950">
        <v>6</v>
      </c>
      <c r="T1950">
        <v>0</v>
      </c>
      <c r="U1950" s="1">
        <v>0</v>
      </c>
      <c r="V1950">
        <v>42</v>
      </c>
    </row>
    <row r="1951" spans="1:22" ht="15">
      <c r="A1951" s="4">
        <v>1944</v>
      </c>
      <c r="B1951">
        <v>1210</v>
      </c>
      <c r="C1951" t="s">
        <v>3288</v>
      </c>
      <c r="D1951" t="s">
        <v>1202</v>
      </c>
      <c r="E1951" t="s">
        <v>69</v>
      </c>
      <c r="F1951" t="s">
        <v>4276</v>
      </c>
      <c r="G1951" t="str">
        <f>"00324463"</f>
        <v>00324463</v>
      </c>
      <c r="H1951">
        <v>38</v>
      </c>
      <c r="I1951">
        <v>0</v>
      </c>
      <c r="M1951">
        <v>4</v>
      </c>
      <c r="N1951">
        <v>0</v>
      </c>
      <c r="O1951">
        <v>0</v>
      </c>
      <c r="P1951">
        <v>42</v>
      </c>
      <c r="Q1951">
        <v>0</v>
      </c>
      <c r="R1951">
        <v>0</v>
      </c>
      <c r="S1951">
        <v>0</v>
      </c>
      <c r="T1951">
        <v>0</v>
      </c>
      <c r="U1951" s="1">
        <v>0</v>
      </c>
      <c r="V1951">
        <v>42</v>
      </c>
    </row>
    <row r="1952" spans="1:22" ht="15">
      <c r="A1952" s="4">
        <v>1945</v>
      </c>
      <c r="B1952">
        <v>454</v>
      </c>
      <c r="C1952" t="s">
        <v>4277</v>
      </c>
      <c r="D1952" t="s">
        <v>4278</v>
      </c>
      <c r="E1952" t="s">
        <v>3089</v>
      </c>
      <c r="F1952" t="s">
        <v>4279</v>
      </c>
      <c r="G1952" t="str">
        <f>"00441523"</f>
        <v>00441523</v>
      </c>
      <c r="H1952">
        <v>32</v>
      </c>
      <c r="I1952">
        <v>0</v>
      </c>
      <c r="M1952">
        <v>4</v>
      </c>
      <c r="N1952">
        <v>0</v>
      </c>
      <c r="O1952">
        <v>0</v>
      </c>
      <c r="P1952">
        <v>36</v>
      </c>
      <c r="Q1952">
        <v>6</v>
      </c>
      <c r="R1952">
        <v>6</v>
      </c>
      <c r="S1952">
        <v>0</v>
      </c>
      <c r="T1952">
        <v>0</v>
      </c>
      <c r="U1952" s="1">
        <v>0</v>
      </c>
      <c r="V1952">
        <v>42</v>
      </c>
    </row>
    <row r="1953" spans="1:22" ht="15">
      <c r="A1953" s="4">
        <v>1946</v>
      </c>
      <c r="B1953">
        <v>331</v>
      </c>
      <c r="C1953" t="s">
        <v>96</v>
      </c>
      <c r="D1953" t="s">
        <v>477</v>
      </c>
      <c r="E1953" t="s">
        <v>90</v>
      </c>
      <c r="F1953" t="s">
        <v>4280</v>
      </c>
      <c r="G1953" t="str">
        <f>"00442619"</f>
        <v>00442619</v>
      </c>
      <c r="H1953">
        <v>36</v>
      </c>
      <c r="I1953">
        <v>0</v>
      </c>
      <c r="M1953">
        <v>4</v>
      </c>
      <c r="N1953">
        <v>0</v>
      </c>
      <c r="O1953">
        <v>2</v>
      </c>
      <c r="P1953">
        <v>42</v>
      </c>
      <c r="Q1953">
        <v>0</v>
      </c>
      <c r="R1953">
        <v>0</v>
      </c>
      <c r="S1953">
        <v>0</v>
      </c>
      <c r="T1953">
        <v>0</v>
      </c>
      <c r="U1953" s="1" t="s">
        <v>6251</v>
      </c>
      <c r="V1953">
        <v>42</v>
      </c>
    </row>
    <row r="1954" spans="1:22" ht="15">
      <c r="A1954" s="4">
        <v>1947</v>
      </c>
      <c r="B1954">
        <v>2430</v>
      </c>
      <c r="C1954" t="s">
        <v>4281</v>
      </c>
      <c r="D1954" t="s">
        <v>4282</v>
      </c>
      <c r="E1954" t="s">
        <v>11</v>
      </c>
      <c r="F1954" t="s">
        <v>4283</v>
      </c>
      <c r="G1954" t="str">
        <f>"00533647"</f>
        <v>00533647</v>
      </c>
      <c r="H1954">
        <v>36</v>
      </c>
      <c r="I1954">
        <v>0</v>
      </c>
      <c r="M1954">
        <v>4</v>
      </c>
      <c r="N1954">
        <v>0</v>
      </c>
      <c r="O1954">
        <v>2</v>
      </c>
      <c r="P1954">
        <v>42</v>
      </c>
      <c r="Q1954">
        <v>0</v>
      </c>
      <c r="R1954">
        <v>0</v>
      </c>
      <c r="S1954">
        <v>0</v>
      </c>
      <c r="T1954">
        <v>0</v>
      </c>
      <c r="U1954" s="1">
        <v>0</v>
      </c>
      <c r="V1954">
        <v>42</v>
      </c>
    </row>
    <row r="1955" spans="1:22" ht="15">
      <c r="A1955" s="4">
        <v>1948</v>
      </c>
      <c r="B1955">
        <v>2229</v>
      </c>
      <c r="C1955" t="s">
        <v>4284</v>
      </c>
      <c r="D1955" t="s">
        <v>4285</v>
      </c>
      <c r="E1955" t="s">
        <v>90</v>
      </c>
      <c r="F1955" t="s">
        <v>4286</v>
      </c>
      <c r="G1955" t="str">
        <f>"00233252"</f>
        <v>00233252</v>
      </c>
      <c r="H1955">
        <v>38</v>
      </c>
      <c r="I1955">
        <v>0</v>
      </c>
      <c r="M1955">
        <v>4</v>
      </c>
      <c r="N1955">
        <v>0</v>
      </c>
      <c r="O1955">
        <v>0</v>
      </c>
      <c r="P1955">
        <v>42</v>
      </c>
      <c r="Q1955">
        <v>0</v>
      </c>
      <c r="R1955">
        <v>0</v>
      </c>
      <c r="S1955">
        <v>0</v>
      </c>
      <c r="T1955">
        <v>0</v>
      </c>
      <c r="U1955" s="1">
        <v>0</v>
      </c>
      <c r="V1955">
        <v>42</v>
      </c>
    </row>
    <row r="1956" spans="1:22" ht="15">
      <c r="A1956" s="4">
        <v>1949</v>
      </c>
      <c r="B1956">
        <v>606</v>
      </c>
      <c r="C1956" t="s">
        <v>4287</v>
      </c>
      <c r="D1956" t="s">
        <v>273</v>
      </c>
      <c r="E1956" t="s">
        <v>927</v>
      </c>
      <c r="F1956" t="s">
        <v>4288</v>
      </c>
      <c r="G1956" t="str">
        <f>"00532152"</f>
        <v>00532152</v>
      </c>
      <c r="H1956">
        <v>26</v>
      </c>
      <c r="I1956">
        <v>10</v>
      </c>
      <c r="M1956">
        <v>0</v>
      </c>
      <c r="N1956">
        <v>0</v>
      </c>
      <c r="O1956">
        <v>0</v>
      </c>
      <c r="P1956">
        <v>36</v>
      </c>
      <c r="Q1956">
        <v>0</v>
      </c>
      <c r="R1956">
        <v>0</v>
      </c>
      <c r="S1956">
        <v>6</v>
      </c>
      <c r="T1956">
        <v>0</v>
      </c>
      <c r="U1956" s="1">
        <v>0</v>
      </c>
      <c r="V1956">
        <v>42</v>
      </c>
    </row>
    <row r="1957" spans="1:22" ht="15">
      <c r="A1957" s="4">
        <v>1950</v>
      </c>
      <c r="B1957">
        <v>11</v>
      </c>
      <c r="C1957" t="s">
        <v>4289</v>
      </c>
      <c r="D1957" t="s">
        <v>89</v>
      </c>
      <c r="E1957" t="s">
        <v>11</v>
      </c>
      <c r="F1957" t="s">
        <v>4290</v>
      </c>
      <c r="G1957" t="str">
        <f>"00513063"</f>
        <v>00513063</v>
      </c>
      <c r="H1957">
        <v>36</v>
      </c>
      <c r="I1957">
        <v>0</v>
      </c>
      <c r="M1957">
        <v>0</v>
      </c>
      <c r="N1957">
        <v>0</v>
      </c>
      <c r="O1957">
        <v>0</v>
      </c>
      <c r="P1957">
        <v>36</v>
      </c>
      <c r="Q1957">
        <v>0</v>
      </c>
      <c r="R1957">
        <v>0</v>
      </c>
      <c r="S1957">
        <v>6</v>
      </c>
      <c r="T1957">
        <v>0</v>
      </c>
      <c r="U1957" s="1">
        <v>0</v>
      </c>
      <c r="V1957">
        <v>42</v>
      </c>
    </row>
    <row r="1958" spans="1:22" ht="15">
      <c r="A1958" s="4">
        <v>1951</v>
      </c>
      <c r="B1958">
        <v>108</v>
      </c>
      <c r="C1958" t="s">
        <v>4291</v>
      </c>
      <c r="D1958" t="s">
        <v>121</v>
      </c>
      <c r="E1958" t="s">
        <v>4292</v>
      </c>
      <c r="F1958" t="s">
        <v>4293</v>
      </c>
      <c r="G1958" t="str">
        <f>"00524143"</f>
        <v>00524143</v>
      </c>
      <c r="H1958">
        <v>26.92</v>
      </c>
      <c r="I1958">
        <v>0</v>
      </c>
      <c r="M1958">
        <v>0</v>
      </c>
      <c r="N1958">
        <v>0</v>
      </c>
      <c r="O1958">
        <v>0</v>
      </c>
      <c r="P1958">
        <v>26.92</v>
      </c>
      <c r="Q1958">
        <v>9</v>
      </c>
      <c r="R1958">
        <v>9</v>
      </c>
      <c r="S1958">
        <v>6</v>
      </c>
      <c r="T1958">
        <v>0</v>
      </c>
      <c r="U1958" s="1">
        <v>0</v>
      </c>
      <c r="V1958">
        <v>41.92</v>
      </c>
    </row>
    <row r="1959" spans="1:22" ht="15">
      <c r="A1959" s="4">
        <v>1952</v>
      </c>
      <c r="B1959">
        <v>2792</v>
      </c>
      <c r="C1959" t="s">
        <v>4294</v>
      </c>
      <c r="D1959" t="s">
        <v>4295</v>
      </c>
      <c r="E1959" t="s">
        <v>327</v>
      </c>
      <c r="F1959" t="s">
        <v>4296</v>
      </c>
      <c r="G1959" t="str">
        <f>"00533382"</f>
        <v>00533382</v>
      </c>
      <c r="H1959">
        <v>34.92</v>
      </c>
      <c r="I1959">
        <v>0</v>
      </c>
      <c r="M1959">
        <v>4</v>
      </c>
      <c r="N1959">
        <v>0</v>
      </c>
      <c r="O1959">
        <v>0</v>
      </c>
      <c r="P1959">
        <v>38.92</v>
      </c>
      <c r="Q1959">
        <v>0</v>
      </c>
      <c r="R1959">
        <v>0</v>
      </c>
      <c r="S1959">
        <v>3</v>
      </c>
      <c r="T1959">
        <v>0</v>
      </c>
      <c r="U1959" s="1">
        <v>0</v>
      </c>
      <c r="V1959">
        <v>41.92</v>
      </c>
    </row>
    <row r="1960" spans="1:22" ht="15">
      <c r="A1960" s="4">
        <v>1953</v>
      </c>
      <c r="B1960">
        <v>2650</v>
      </c>
      <c r="C1960" t="s">
        <v>4297</v>
      </c>
      <c r="D1960" t="s">
        <v>40</v>
      </c>
      <c r="E1960" t="s">
        <v>90</v>
      </c>
      <c r="F1960" t="s">
        <v>4298</v>
      </c>
      <c r="G1960" t="str">
        <f>"00510768"</f>
        <v>00510768</v>
      </c>
      <c r="H1960">
        <v>20.92</v>
      </c>
      <c r="I1960">
        <v>0</v>
      </c>
      <c r="M1960">
        <v>4</v>
      </c>
      <c r="N1960">
        <v>0</v>
      </c>
      <c r="O1960">
        <v>0</v>
      </c>
      <c r="P1960">
        <v>24.92</v>
      </c>
      <c r="Q1960">
        <v>11</v>
      </c>
      <c r="R1960">
        <v>11</v>
      </c>
      <c r="S1960">
        <v>6</v>
      </c>
      <c r="T1960">
        <v>0</v>
      </c>
      <c r="U1960" s="1">
        <v>0</v>
      </c>
      <c r="V1960">
        <v>41.92</v>
      </c>
    </row>
    <row r="1961" spans="1:22" ht="15">
      <c r="A1961" s="4">
        <v>1954</v>
      </c>
      <c r="B1961">
        <v>779</v>
      </c>
      <c r="C1961" t="s">
        <v>915</v>
      </c>
      <c r="D1961" t="s">
        <v>156</v>
      </c>
      <c r="E1961" t="s">
        <v>73</v>
      </c>
      <c r="F1961" t="s">
        <v>4299</v>
      </c>
      <c r="G1961" t="str">
        <f>"00479614"</f>
        <v>00479614</v>
      </c>
      <c r="H1961">
        <v>25.88</v>
      </c>
      <c r="I1961">
        <v>0</v>
      </c>
      <c r="M1961">
        <v>0</v>
      </c>
      <c r="N1961">
        <v>0</v>
      </c>
      <c r="O1961">
        <v>0</v>
      </c>
      <c r="P1961">
        <v>25.88</v>
      </c>
      <c r="Q1961">
        <v>16</v>
      </c>
      <c r="R1961">
        <v>16</v>
      </c>
      <c r="S1961">
        <v>0</v>
      </c>
      <c r="T1961">
        <v>0</v>
      </c>
      <c r="U1961" s="1">
        <v>0</v>
      </c>
      <c r="V1961">
        <v>41.88</v>
      </c>
    </row>
    <row r="1962" spans="1:22" ht="15">
      <c r="A1962" s="4">
        <v>1955</v>
      </c>
      <c r="B1962">
        <v>2783</v>
      </c>
      <c r="C1962" t="s">
        <v>4300</v>
      </c>
      <c r="D1962" t="s">
        <v>643</v>
      </c>
      <c r="E1962" t="s">
        <v>4301</v>
      </c>
      <c r="F1962" t="s">
        <v>4302</v>
      </c>
      <c r="G1962" t="str">
        <f>"00529007"</f>
        <v>00529007</v>
      </c>
      <c r="H1962">
        <v>32.88</v>
      </c>
      <c r="I1962">
        <v>0</v>
      </c>
      <c r="M1962">
        <v>0</v>
      </c>
      <c r="N1962">
        <v>0</v>
      </c>
      <c r="O1962">
        <v>0</v>
      </c>
      <c r="P1962">
        <v>32.88</v>
      </c>
      <c r="Q1962">
        <v>0</v>
      </c>
      <c r="R1962">
        <v>0</v>
      </c>
      <c r="S1962">
        <v>9</v>
      </c>
      <c r="T1962">
        <v>0</v>
      </c>
      <c r="U1962" s="1">
        <v>0</v>
      </c>
      <c r="V1962">
        <v>41.88</v>
      </c>
    </row>
    <row r="1963" spans="1:22" ht="15">
      <c r="A1963" s="4">
        <v>1956</v>
      </c>
      <c r="B1963">
        <v>414</v>
      </c>
      <c r="C1963" t="s">
        <v>4303</v>
      </c>
      <c r="D1963" t="s">
        <v>14</v>
      </c>
      <c r="E1963" t="s">
        <v>11</v>
      </c>
      <c r="F1963" t="s">
        <v>4304</v>
      </c>
      <c r="G1963" t="str">
        <f>"00518097"</f>
        <v>00518097</v>
      </c>
      <c r="H1963">
        <v>28.8</v>
      </c>
      <c r="I1963">
        <v>0</v>
      </c>
      <c r="L1963">
        <v>4</v>
      </c>
      <c r="M1963">
        <v>4</v>
      </c>
      <c r="N1963">
        <v>4</v>
      </c>
      <c r="O1963">
        <v>0</v>
      </c>
      <c r="P1963">
        <v>36.8</v>
      </c>
      <c r="Q1963">
        <v>5</v>
      </c>
      <c r="R1963">
        <v>5</v>
      </c>
      <c r="S1963">
        <v>0</v>
      </c>
      <c r="T1963">
        <v>0</v>
      </c>
      <c r="U1963" s="1">
        <v>0</v>
      </c>
      <c r="V1963">
        <v>41.8</v>
      </c>
    </row>
    <row r="1964" spans="1:22" ht="15">
      <c r="A1964" s="4">
        <v>1957</v>
      </c>
      <c r="B1964">
        <v>77</v>
      </c>
      <c r="C1964" t="s">
        <v>4305</v>
      </c>
      <c r="D1964" t="s">
        <v>4306</v>
      </c>
      <c r="E1964" t="s">
        <v>4307</v>
      </c>
      <c r="F1964" t="s">
        <v>4308</v>
      </c>
      <c r="G1964" t="str">
        <f>"00527787"</f>
        <v>00527787</v>
      </c>
      <c r="H1964">
        <v>28.8</v>
      </c>
      <c r="I1964">
        <v>0</v>
      </c>
      <c r="L1964">
        <v>4</v>
      </c>
      <c r="M1964">
        <v>0</v>
      </c>
      <c r="N1964">
        <v>4</v>
      </c>
      <c r="O1964">
        <v>0</v>
      </c>
      <c r="P1964">
        <v>32.8</v>
      </c>
      <c r="Q1964">
        <v>0</v>
      </c>
      <c r="R1964">
        <v>0</v>
      </c>
      <c r="S1964">
        <v>9</v>
      </c>
      <c r="T1964">
        <v>0</v>
      </c>
      <c r="U1964" s="1">
        <v>0</v>
      </c>
      <c r="V1964">
        <v>41.8</v>
      </c>
    </row>
    <row r="1965" spans="1:22" ht="15">
      <c r="A1965" s="4">
        <v>1958</v>
      </c>
      <c r="B1965">
        <v>1230</v>
      </c>
      <c r="C1965" t="s">
        <v>4309</v>
      </c>
      <c r="D1965" t="s">
        <v>14</v>
      </c>
      <c r="E1965" t="s">
        <v>644</v>
      </c>
      <c r="F1965" t="s">
        <v>4310</v>
      </c>
      <c r="G1965" t="str">
        <f>"00200244"</f>
        <v>00200244</v>
      </c>
      <c r="H1965">
        <v>24.72</v>
      </c>
      <c r="I1965">
        <v>10</v>
      </c>
      <c r="M1965">
        <v>4</v>
      </c>
      <c r="N1965">
        <v>0</v>
      </c>
      <c r="O1965">
        <v>0</v>
      </c>
      <c r="P1965">
        <v>38.72</v>
      </c>
      <c r="Q1965">
        <v>0</v>
      </c>
      <c r="R1965">
        <v>0</v>
      </c>
      <c r="S1965">
        <v>3</v>
      </c>
      <c r="T1965">
        <v>0</v>
      </c>
      <c r="U1965" s="1">
        <v>0</v>
      </c>
      <c r="V1965">
        <v>41.72</v>
      </c>
    </row>
    <row r="1966" spans="1:22" ht="15">
      <c r="A1966" s="4">
        <v>1959</v>
      </c>
      <c r="B1966">
        <v>1412</v>
      </c>
      <c r="C1966" t="s">
        <v>4311</v>
      </c>
      <c r="D1966" t="s">
        <v>4312</v>
      </c>
      <c r="E1966" t="s">
        <v>732</v>
      </c>
      <c r="F1966" t="s">
        <v>4313</v>
      </c>
      <c r="G1966" t="str">
        <f>"201511024415"</f>
        <v>201511024415</v>
      </c>
      <c r="H1966">
        <v>32.72</v>
      </c>
      <c r="I1966">
        <v>0</v>
      </c>
      <c r="M1966">
        <v>0</v>
      </c>
      <c r="N1966">
        <v>0</v>
      </c>
      <c r="O1966">
        <v>0</v>
      </c>
      <c r="P1966">
        <v>32.72</v>
      </c>
      <c r="Q1966">
        <v>0</v>
      </c>
      <c r="R1966">
        <v>0</v>
      </c>
      <c r="S1966">
        <v>9</v>
      </c>
      <c r="T1966">
        <v>0</v>
      </c>
      <c r="U1966" s="1">
        <v>0</v>
      </c>
      <c r="V1966">
        <v>41.72</v>
      </c>
    </row>
    <row r="1967" spans="1:22" ht="15">
      <c r="A1967" s="4">
        <v>1960</v>
      </c>
      <c r="B1967">
        <v>1184</v>
      </c>
      <c r="C1967" t="s">
        <v>4314</v>
      </c>
      <c r="D1967" t="s">
        <v>4315</v>
      </c>
      <c r="E1967" t="s">
        <v>403</v>
      </c>
      <c r="F1967" t="s">
        <v>4316</v>
      </c>
      <c r="G1967" t="str">
        <f>"00442239"</f>
        <v>00442239</v>
      </c>
      <c r="H1967">
        <v>30.68</v>
      </c>
      <c r="I1967">
        <v>0</v>
      </c>
      <c r="M1967">
        <v>0</v>
      </c>
      <c r="N1967">
        <v>0</v>
      </c>
      <c r="O1967">
        <v>0</v>
      </c>
      <c r="P1967">
        <v>30.68</v>
      </c>
      <c r="Q1967">
        <v>8</v>
      </c>
      <c r="R1967">
        <v>8</v>
      </c>
      <c r="S1967">
        <v>3</v>
      </c>
      <c r="T1967">
        <v>0</v>
      </c>
      <c r="U1967" s="1">
        <v>0</v>
      </c>
      <c r="V1967">
        <v>41.68</v>
      </c>
    </row>
    <row r="1968" spans="1:22" ht="15">
      <c r="A1968" s="4">
        <v>1961</v>
      </c>
      <c r="B1968">
        <v>164</v>
      </c>
      <c r="C1968" t="s">
        <v>4317</v>
      </c>
      <c r="D1968" t="s">
        <v>4318</v>
      </c>
      <c r="E1968" t="s">
        <v>4319</v>
      </c>
      <c r="F1968" t="s">
        <v>4320</v>
      </c>
      <c r="G1968" t="str">
        <f>"00532200"</f>
        <v>00532200</v>
      </c>
      <c r="H1968">
        <v>20.6</v>
      </c>
      <c r="I1968">
        <v>10</v>
      </c>
      <c r="L1968">
        <v>4</v>
      </c>
      <c r="M1968">
        <v>4</v>
      </c>
      <c r="N1968">
        <v>4</v>
      </c>
      <c r="O1968">
        <v>0</v>
      </c>
      <c r="P1968">
        <v>38.6</v>
      </c>
      <c r="Q1968">
        <v>0</v>
      </c>
      <c r="R1968">
        <v>0</v>
      </c>
      <c r="S1968">
        <v>3</v>
      </c>
      <c r="T1968">
        <v>0</v>
      </c>
      <c r="U1968" s="1">
        <v>0</v>
      </c>
      <c r="V1968">
        <v>41.6</v>
      </c>
    </row>
    <row r="1969" spans="1:22" ht="15">
      <c r="A1969" s="4">
        <v>1962</v>
      </c>
      <c r="B1969">
        <v>350</v>
      </c>
      <c r="C1969" t="s">
        <v>4321</v>
      </c>
      <c r="D1969" t="s">
        <v>89</v>
      </c>
      <c r="E1969" t="s">
        <v>167</v>
      </c>
      <c r="F1969" t="s">
        <v>4322</v>
      </c>
      <c r="G1969" t="str">
        <f>"00482587"</f>
        <v>00482587</v>
      </c>
      <c r="H1969">
        <v>9.6</v>
      </c>
      <c r="I1969">
        <v>0</v>
      </c>
      <c r="M1969">
        <v>0</v>
      </c>
      <c r="N1969">
        <v>0</v>
      </c>
      <c r="O1969">
        <v>0</v>
      </c>
      <c r="P1969">
        <v>9.6</v>
      </c>
      <c r="Q1969">
        <v>32</v>
      </c>
      <c r="R1969">
        <v>32</v>
      </c>
      <c r="S1969">
        <v>0</v>
      </c>
      <c r="T1969">
        <v>0</v>
      </c>
      <c r="U1969" s="1">
        <v>0</v>
      </c>
      <c r="V1969">
        <v>41.6</v>
      </c>
    </row>
    <row r="1970" spans="1:22" ht="15">
      <c r="A1970" s="4">
        <v>1963</v>
      </c>
      <c r="B1970">
        <v>3208</v>
      </c>
      <c r="C1970" t="s">
        <v>2283</v>
      </c>
      <c r="D1970" t="s">
        <v>76</v>
      </c>
      <c r="E1970" t="s">
        <v>11</v>
      </c>
      <c r="F1970" t="s">
        <v>4323</v>
      </c>
      <c r="G1970" t="str">
        <f>"00528178"</f>
        <v>00528178</v>
      </c>
      <c r="H1970">
        <v>21.6</v>
      </c>
      <c r="I1970">
        <v>0</v>
      </c>
      <c r="L1970">
        <v>4</v>
      </c>
      <c r="M1970">
        <v>4</v>
      </c>
      <c r="N1970">
        <v>4</v>
      </c>
      <c r="O1970">
        <v>0</v>
      </c>
      <c r="P1970">
        <v>29.6</v>
      </c>
      <c r="Q1970">
        <v>12</v>
      </c>
      <c r="R1970">
        <v>12</v>
      </c>
      <c r="S1970">
        <v>0</v>
      </c>
      <c r="T1970">
        <v>0</v>
      </c>
      <c r="U1970" s="1">
        <v>0</v>
      </c>
      <c r="V1970">
        <v>41.6</v>
      </c>
    </row>
    <row r="1971" spans="1:22" ht="15">
      <c r="A1971" s="4">
        <v>1964</v>
      </c>
      <c r="B1971">
        <v>894</v>
      </c>
      <c r="C1971" t="s">
        <v>4324</v>
      </c>
      <c r="D1971" t="s">
        <v>4325</v>
      </c>
      <c r="E1971" t="s">
        <v>51</v>
      </c>
      <c r="F1971" t="s">
        <v>4326</v>
      </c>
      <c r="G1971" t="str">
        <f>"00530060"</f>
        <v>00530060</v>
      </c>
      <c r="H1971">
        <v>21.6</v>
      </c>
      <c r="I1971">
        <v>10</v>
      </c>
      <c r="L1971">
        <v>4</v>
      </c>
      <c r="M1971">
        <v>4</v>
      </c>
      <c r="N1971">
        <v>4</v>
      </c>
      <c r="O1971">
        <v>0</v>
      </c>
      <c r="P1971">
        <v>39.6</v>
      </c>
      <c r="Q1971">
        <v>2</v>
      </c>
      <c r="R1971">
        <v>2</v>
      </c>
      <c r="S1971">
        <v>0</v>
      </c>
      <c r="T1971">
        <v>0</v>
      </c>
      <c r="U1971" s="1">
        <v>0</v>
      </c>
      <c r="V1971">
        <v>41.6</v>
      </c>
    </row>
    <row r="1972" spans="1:22" ht="15">
      <c r="A1972" s="4">
        <v>1965</v>
      </c>
      <c r="B1972">
        <v>304</v>
      </c>
      <c r="C1972" t="s">
        <v>3887</v>
      </c>
      <c r="D1972" t="s">
        <v>127</v>
      </c>
      <c r="E1972" t="s">
        <v>83</v>
      </c>
      <c r="F1972" t="s">
        <v>4327</v>
      </c>
      <c r="G1972" t="str">
        <f>"00529736"</f>
        <v>00529736</v>
      </c>
      <c r="H1972">
        <v>35.56</v>
      </c>
      <c r="I1972">
        <v>0</v>
      </c>
      <c r="M1972">
        <v>0</v>
      </c>
      <c r="N1972">
        <v>0</v>
      </c>
      <c r="O1972">
        <v>0</v>
      </c>
      <c r="P1972">
        <v>35.56</v>
      </c>
      <c r="Q1972">
        <v>0</v>
      </c>
      <c r="R1972">
        <v>0</v>
      </c>
      <c r="S1972">
        <v>6</v>
      </c>
      <c r="T1972">
        <v>0</v>
      </c>
      <c r="U1972" s="1">
        <v>0</v>
      </c>
      <c r="V1972">
        <v>41.56</v>
      </c>
    </row>
    <row r="1973" spans="1:22" ht="15">
      <c r="A1973" s="4">
        <v>1966</v>
      </c>
      <c r="B1973">
        <v>1456</v>
      </c>
      <c r="C1973" t="s">
        <v>759</v>
      </c>
      <c r="D1973" t="s">
        <v>40</v>
      </c>
      <c r="E1973" t="s">
        <v>73</v>
      </c>
      <c r="F1973" t="s">
        <v>4328</v>
      </c>
      <c r="G1973" t="str">
        <f>"00531531"</f>
        <v>00531531</v>
      </c>
      <c r="H1973">
        <v>35.56</v>
      </c>
      <c r="I1973">
        <v>0</v>
      </c>
      <c r="M1973">
        <v>0</v>
      </c>
      <c r="N1973">
        <v>0</v>
      </c>
      <c r="O1973">
        <v>0</v>
      </c>
      <c r="P1973">
        <v>35.56</v>
      </c>
      <c r="Q1973">
        <v>0</v>
      </c>
      <c r="R1973">
        <v>0</v>
      </c>
      <c r="S1973">
        <v>6</v>
      </c>
      <c r="T1973">
        <v>0</v>
      </c>
      <c r="U1973" s="1">
        <v>0</v>
      </c>
      <c r="V1973">
        <v>41.56</v>
      </c>
    </row>
    <row r="1974" spans="1:22" ht="15">
      <c r="A1974" s="4">
        <v>1967</v>
      </c>
      <c r="B1974">
        <v>3172</v>
      </c>
      <c r="C1974" t="s">
        <v>4329</v>
      </c>
      <c r="D1974" t="s">
        <v>40</v>
      </c>
      <c r="E1974" t="s">
        <v>1678</v>
      </c>
      <c r="F1974" t="s">
        <v>4330</v>
      </c>
      <c r="G1974" t="str">
        <f>"00195803"</f>
        <v>00195803</v>
      </c>
      <c r="H1974">
        <v>31.56</v>
      </c>
      <c r="I1974">
        <v>0</v>
      </c>
      <c r="M1974">
        <v>4</v>
      </c>
      <c r="N1974">
        <v>0</v>
      </c>
      <c r="O1974">
        <v>0</v>
      </c>
      <c r="P1974">
        <v>35.56</v>
      </c>
      <c r="Q1974">
        <v>0</v>
      </c>
      <c r="R1974">
        <v>0</v>
      </c>
      <c r="S1974">
        <v>6</v>
      </c>
      <c r="T1974">
        <v>0</v>
      </c>
      <c r="U1974" s="1">
        <v>0</v>
      </c>
      <c r="V1974">
        <v>41.56</v>
      </c>
    </row>
    <row r="1975" spans="1:22" ht="15">
      <c r="A1975" s="4">
        <v>1968</v>
      </c>
      <c r="B1975">
        <v>1956</v>
      </c>
      <c r="C1975" t="s">
        <v>4331</v>
      </c>
      <c r="D1975" t="s">
        <v>76</v>
      </c>
      <c r="E1975" t="s">
        <v>90</v>
      </c>
      <c r="F1975" t="s">
        <v>4332</v>
      </c>
      <c r="G1975" t="str">
        <f>"00530959"</f>
        <v>00530959</v>
      </c>
      <c r="H1975">
        <v>25.52</v>
      </c>
      <c r="I1975">
        <v>0</v>
      </c>
      <c r="L1975">
        <v>4</v>
      </c>
      <c r="M1975">
        <v>0</v>
      </c>
      <c r="N1975">
        <v>4</v>
      </c>
      <c r="O1975">
        <v>0</v>
      </c>
      <c r="P1975">
        <v>29.52</v>
      </c>
      <c r="Q1975">
        <v>12</v>
      </c>
      <c r="R1975">
        <v>12</v>
      </c>
      <c r="S1975">
        <v>0</v>
      </c>
      <c r="T1975">
        <v>0</v>
      </c>
      <c r="U1975" s="1">
        <v>0</v>
      </c>
      <c r="V1975">
        <v>41.52</v>
      </c>
    </row>
    <row r="1976" spans="1:22" ht="15">
      <c r="A1976" s="4">
        <v>1969</v>
      </c>
      <c r="B1976">
        <v>47</v>
      </c>
      <c r="C1976" t="s">
        <v>4333</v>
      </c>
      <c r="D1976" t="s">
        <v>3817</v>
      </c>
      <c r="E1976" t="s">
        <v>186</v>
      </c>
      <c r="F1976" t="s">
        <v>4334</v>
      </c>
      <c r="G1976" t="str">
        <f>"201511022549"</f>
        <v>201511022549</v>
      </c>
      <c r="H1976">
        <v>24.52</v>
      </c>
      <c r="I1976">
        <v>10</v>
      </c>
      <c r="L1976">
        <v>4</v>
      </c>
      <c r="M1976">
        <v>0</v>
      </c>
      <c r="N1976">
        <v>4</v>
      </c>
      <c r="O1976">
        <v>0</v>
      </c>
      <c r="P1976">
        <v>38.52</v>
      </c>
      <c r="Q1976">
        <v>0</v>
      </c>
      <c r="R1976">
        <v>0</v>
      </c>
      <c r="S1976">
        <v>3</v>
      </c>
      <c r="T1976">
        <v>0</v>
      </c>
      <c r="U1976" s="1">
        <v>0</v>
      </c>
      <c r="V1976">
        <v>41.52</v>
      </c>
    </row>
    <row r="1977" spans="1:22" ht="15">
      <c r="A1977" s="4">
        <v>1970</v>
      </c>
      <c r="B1977">
        <v>2550</v>
      </c>
      <c r="C1977" t="s">
        <v>4335</v>
      </c>
      <c r="D1977" t="s">
        <v>755</v>
      </c>
      <c r="E1977" t="s">
        <v>90</v>
      </c>
      <c r="F1977" t="s">
        <v>4336</v>
      </c>
      <c r="G1977" t="str">
        <f>"00481842"</f>
        <v>00481842</v>
      </c>
      <c r="H1977">
        <v>21.44</v>
      </c>
      <c r="I1977">
        <v>10</v>
      </c>
      <c r="M1977">
        <v>4</v>
      </c>
      <c r="N1977">
        <v>0</v>
      </c>
      <c r="O1977">
        <v>0</v>
      </c>
      <c r="P1977">
        <v>35.44</v>
      </c>
      <c r="Q1977">
        <v>0</v>
      </c>
      <c r="R1977">
        <v>0</v>
      </c>
      <c r="S1977">
        <v>6</v>
      </c>
      <c r="T1977">
        <v>0</v>
      </c>
      <c r="U1977" s="1">
        <v>0</v>
      </c>
      <c r="V1977">
        <v>41.44</v>
      </c>
    </row>
    <row r="1978" spans="1:22" ht="15">
      <c r="A1978" s="4">
        <v>1971</v>
      </c>
      <c r="B1978">
        <v>879</v>
      </c>
      <c r="C1978" t="s">
        <v>4337</v>
      </c>
      <c r="D1978" t="s">
        <v>127</v>
      </c>
      <c r="E1978" t="s">
        <v>3062</v>
      </c>
      <c r="F1978" t="s">
        <v>4338</v>
      </c>
      <c r="G1978" t="str">
        <f>"00495348"</f>
        <v>00495348</v>
      </c>
      <c r="H1978">
        <v>14.4</v>
      </c>
      <c r="I1978">
        <v>10</v>
      </c>
      <c r="J1978">
        <v>8</v>
      </c>
      <c r="M1978">
        <v>4</v>
      </c>
      <c r="N1978">
        <v>8</v>
      </c>
      <c r="O1978">
        <v>0</v>
      </c>
      <c r="P1978">
        <v>36.4</v>
      </c>
      <c r="Q1978">
        <v>5</v>
      </c>
      <c r="R1978">
        <v>5</v>
      </c>
      <c r="S1978">
        <v>0</v>
      </c>
      <c r="T1978">
        <v>0</v>
      </c>
      <c r="U1978" s="1">
        <v>0</v>
      </c>
      <c r="V1978">
        <v>41.4</v>
      </c>
    </row>
    <row r="1979" spans="1:22" ht="15">
      <c r="A1979" s="4">
        <v>1972</v>
      </c>
      <c r="B1979">
        <v>2328</v>
      </c>
      <c r="C1979" t="s">
        <v>4339</v>
      </c>
      <c r="D1979" t="s">
        <v>14</v>
      </c>
      <c r="E1979" t="s">
        <v>83</v>
      </c>
      <c r="F1979" t="s">
        <v>4340</v>
      </c>
      <c r="G1979" t="str">
        <f>"00160998"</f>
        <v>00160998</v>
      </c>
      <c r="H1979">
        <v>28.4</v>
      </c>
      <c r="I1979">
        <v>0</v>
      </c>
      <c r="M1979">
        <v>4</v>
      </c>
      <c r="N1979">
        <v>0</v>
      </c>
      <c r="O1979">
        <v>0</v>
      </c>
      <c r="P1979">
        <v>32.4</v>
      </c>
      <c r="Q1979">
        <v>0</v>
      </c>
      <c r="R1979">
        <v>0</v>
      </c>
      <c r="S1979">
        <v>9</v>
      </c>
      <c r="T1979">
        <v>0</v>
      </c>
      <c r="U1979" s="1">
        <v>0</v>
      </c>
      <c r="V1979">
        <v>41.4</v>
      </c>
    </row>
    <row r="1980" spans="1:22" ht="15">
      <c r="A1980" s="4">
        <v>1973</v>
      </c>
      <c r="B1980">
        <v>174</v>
      </c>
      <c r="C1980" t="s">
        <v>4341</v>
      </c>
      <c r="D1980" t="s">
        <v>3784</v>
      </c>
      <c r="E1980" t="s">
        <v>364</v>
      </c>
      <c r="F1980" t="s">
        <v>4342</v>
      </c>
      <c r="G1980" t="str">
        <f>"00523374"</f>
        <v>00523374</v>
      </c>
      <c r="H1980">
        <v>38.4</v>
      </c>
      <c r="I1980">
        <v>0</v>
      </c>
      <c r="M1980">
        <v>0</v>
      </c>
      <c r="N1980">
        <v>0</v>
      </c>
      <c r="O1980">
        <v>0</v>
      </c>
      <c r="P1980">
        <v>38.4</v>
      </c>
      <c r="Q1980">
        <v>0</v>
      </c>
      <c r="R1980">
        <v>0</v>
      </c>
      <c r="S1980">
        <v>3</v>
      </c>
      <c r="T1980">
        <v>0</v>
      </c>
      <c r="U1980" s="1">
        <v>0</v>
      </c>
      <c r="V1980">
        <v>41.4</v>
      </c>
    </row>
    <row r="1981" spans="1:22" ht="15">
      <c r="A1981" s="4">
        <v>1974</v>
      </c>
      <c r="B1981">
        <v>351</v>
      </c>
      <c r="C1981" t="s">
        <v>4309</v>
      </c>
      <c r="D1981" t="s">
        <v>102</v>
      </c>
      <c r="E1981" t="s">
        <v>51</v>
      </c>
      <c r="F1981" t="s">
        <v>4343</v>
      </c>
      <c r="G1981" t="str">
        <f>"00530548"</f>
        <v>00530548</v>
      </c>
      <c r="H1981">
        <v>21.24</v>
      </c>
      <c r="I1981">
        <v>0</v>
      </c>
      <c r="M1981">
        <v>0</v>
      </c>
      <c r="N1981">
        <v>0</v>
      </c>
      <c r="O1981">
        <v>0</v>
      </c>
      <c r="P1981">
        <v>21.24</v>
      </c>
      <c r="Q1981">
        <v>20</v>
      </c>
      <c r="R1981">
        <v>20</v>
      </c>
      <c r="S1981">
        <v>0</v>
      </c>
      <c r="T1981">
        <v>0</v>
      </c>
      <c r="U1981" s="1">
        <v>0</v>
      </c>
      <c r="V1981">
        <v>41.24</v>
      </c>
    </row>
    <row r="1982" spans="1:22" ht="15">
      <c r="A1982" s="4">
        <v>1975</v>
      </c>
      <c r="B1982">
        <v>2438</v>
      </c>
      <c r="C1982" t="s">
        <v>4344</v>
      </c>
      <c r="D1982" t="s">
        <v>1397</v>
      </c>
      <c r="E1982" t="s">
        <v>11</v>
      </c>
      <c r="F1982" t="s">
        <v>4345</v>
      </c>
      <c r="G1982" t="str">
        <f>"00517180"</f>
        <v>00517180</v>
      </c>
      <c r="H1982">
        <v>7.2</v>
      </c>
      <c r="I1982">
        <v>0</v>
      </c>
      <c r="M1982">
        <v>0</v>
      </c>
      <c r="N1982">
        <v>0</v>
      </c>
      <c r="O1982">
        <v>0</v>
      </c>
      <c r="P1982">
        <v>7.2</v>
      </c>
      <c r="Q1982">
        <v>34</v>
      </c>
      <c r="R1982">
        <v>34</v>
      </c>
      <c r="S1982">
        <v>0</v>
      </c>
      <c r="T1982">
        <v>0</v>
      </c>
      <c r="U1982" s="1">
        <v>0</v>
      </c>
      <c r="V1982">
        <v>41.2</v>
      </c>
    </row>
    <row r="1983" spans="1:22" ht="15">
      <c r="A1983" s="4">
        <v>1976</v>
      </c>
      <c r="B1983">
        <v>3109</v>
      </c>
      <c r="C1983" t="s">
        <v>4346</v>
      </c>
      <c r="D1983" t="s">
        <v>4347</v>
      </c>
      <c r="E1983" t="s">
        <v>197</v>
      </c>
      <c r="F1983" t="s">
        <v>4348</v>
      </c>
      <c r="G1983" t="str">
        <f>"00532510"</f>
        <v>00532510</v>
      </c>
      <c r="H1983">
        <v>7.2</v>
      </c>
      <c r="I1983">
        <v>0</v>
      </c>
      <c r="M1983">
        <v>0</v>
      </c>
      <c r="N1983">
        <v>0</v>
      </c>
      <c r="O1983">
        <v>2</v>
      </c>
      <c r="P1983">
        <v>9.2</v>
      </c>
      <c r="Q1983">
        <v>32</v>
      </c>
      <c r="R1983">
        <v>32</v>
      </c>
      <c r="S1983">
        <v>0</v>
      </c>
      <c r="T1983">
        <v>0</v>
      </c>
      <c r="U1983" s="1">
        <v>0</v>
      </c>
      <c r="V1983">
        <v>41.2</v>
      </c>
    </row>
    <row r="1984" spans="1:22" ht="15">
      <c r="A1984" s="4">
        <v>1977</v>
      </c>
      <c r="B1984">
        <v>1844</v>
      </c>
      <c r="C1984" t="s">
        <v>4349</v>
      </c>
      <c r="D1984" t="s">
        <v>14</v>
      </c>
      <c r="E1984" t="s">
        <v>15</v>
      </c>
      <c r="F1984" t="s">
        <v>4350</v>
      </c>
      <c r="G1984" t="str">
        <f>"00488625"</f>
        <v>00488625</v>
      </c>
      <c r="H1984">
        <v>22.16</v>
      </c>
      <c r="I1984">
        <v>10</v>
      </c>
      <c r="M1984">
        <v>4</v>
      </c>
      <c r="N1984">
        <v>0</v>
      </c>
      <c r="O1984">
        <v>0</v>
      </c>
      <c r="P1984">
        <v>36.16</v>
      </c>
      <c r="Q1984">
        <v>5</v>
      </c>
      <c r="R1984">
        <v>5</v>
      </c>
      <c r="S1984">
        <v>0</v>
      </c>
      <c r="T1984">
        <v>0</v>
      </c>
      <c r="U1984" s="1">
        <v>0</v>
      </c>
      <c r="V1984">
        <v>41.16</v>
      </c>
    </row>
    <row r="1985" spans="1:22" ht="15">
      <c r="A1985" s="4">
        <v>1978</v>
      </c>
      <c r="B1985">
        <v>1487</v>
      </c>
      <c r="C1985" t="s">
        <v>730</v>
      </c>
      <c r="D1985" t="s">
        <v>76</v>
      </c>
      <c r="E1985" t="s">
        <v>59</v>
      </c>
      <c r="F1985" t="s">
        <v>4351</v>
      </c>
      <c r="G1985" t="str">
        <f>"201511015118"</f>
        <v>201511015118</v>
      </c>
      <c r="H1985">
        <v>10.16</v>
      </c>
      <c r="I1985">
        <v>0</v>
      </c>
      <c r="M1985">
        <v>0</v>
      </c>
      <c r="N1985">
        <v>0</v>
      </c>
      <c r="O1985">
        <v>0</v>
      </c>
      <c r="P1985">
        <v>10.16</v>
      </c>
      <c r="Q1985">
        <v>31</v>
      </c>
      <c r="R1985">
        <v>31</v>
      </c>
      <c r="S1985">
        <v>0</v>
      </c>
      <c r="T1985">
        <v>0</v>
      </c>
      <c r="U1985" s="1">
        <v>0</v>
      </c>
      <c r="V1985">
        <v>41.16</v>
      </c>
    </row>
    <row r="1986" spans="1:22" ht="15">
      <c r="A1986" s="4">
        <v>1979</v>
      </c>
      <c r="B1986">
        <v>1305</v>
      </c>
      <c r="C1986" t="s">
        <v>4352</v>
      </c>
      <c r="D1986" t="s">
        <v>485</v>
      </c>
      <c r="E1986" t="s">
        <v>11</v>
      </c>
      <c r="F1986" t="s">
        <v>4353</v>
      </c>
      <c r="G1986" t="str">
        <f>"00441773"</f>
        <v>00441773</v>
      </c>
      <c r="H1986">
        <v>20</v>
      </c>
      <c r="I1986">
        <v>10</v>
      </c>
      <c r="M1986">
        <v>4</v>
      </c>
      <c r="N1986">
        <v>0</v>
      </c>
      <c r="O1986">
        <v>0</v>
      </c>
      <c r="P1986">
        <v>34</v>
      </c>
      <c r="Q1986">
        <v>1</v>
      </c>
      <c r="R1986">
        <v>1</v>
      </c>
      <c r="S1986">
        <v>6</v>
      </c>
      <c r="T1986">
        <v>0</v>
      </c>
      <c r="U1986" s="1">
        <v>0</v>
      </c>
      <c r="V1986">
        <v>41</v>
      </c>
    </row>
    <row r="1987" spans="1:22" ht="15">
      <c r="A1987" s="4">
        <v>1980</v>
      </c>
      <c r="B1987">
        <v>1699</v>
      </c>
      <c r="C1987" t="s">
        <v>4354</v>
      </c>
      <c r="D1987" t="s">
        <v>4355</v>
      </c>
      <c r="E1987" t="s">
        <v>4356</v>
      </c>
      <c r="F1987" t="s">
        <v>4357</v>
      </c>
      <c r="G1987" t="str">
        <f>"00308388"</f>
        <v>00308388</v>
      </c>
      <c r="H1987">
        <v>36</v>
      </c>
      <c r="I1987">
        <v>0</v>
      </c>
      <c r="M1987">
        <v>0</v>
      </c>
      <c r="N1987">
        <v>0</v>
      </c>
      <c r="O1987">
        <v>2</v>
      </c>
      <c r="P1987">
        <v>38</v>
      </c>
      <c r="Q1987">
        <v>0</v>
      </c>
      <c r="R1987">
        <v>0</v>
      </c>
      <c r="S1987">
        <v>3</v>
      </c>
      <c r="T1987">
        <v>0</v>
      </c>
      <c r="U1987" s="1">
        <v>0</v>
      </c>
      <c r="V1987">
        <v>41</v>
      </c>
    </row>
    <row r="1988" spans="1:22" ht="15">
      <c r="A1988" s="4">
        <v>1981</v>
      </c>
      <c r="B1988">
        <v>2404</v>
      </c>
      <c r="C1988" t="s">
        <v>3937</v>
      </c>
      <c r="D1988" t="s">
        <v>4358</v>
      </c>
      <c r="E1988" t="s">
        <v>23</v>
      </c>
      <c r="F1988" t="s">
        <v>4359</v>
      </c>
      <c r="G1988" t="str">
        <f>"00441640"</f>
        <v>00441640</v>
      </c>
      <c r="H1988">
        <v>36</v>
      </c>
      <c r="I1988">
        <v>0</v>
      </c>
      <c r="M1988">
        <v>0</v>
      </c>
      <c r="N1988">
        <v>0</v>
      </c>
      <c r="O1988">
        <v>0</v>
      </c>
      <c r="P1988">
        <v>36</v>
      </c>
      <c r="Q1988">
        <v>5</v>
      </c>
      <c r="R1988">
        <v>5</v>
      </c>
      <c r="S1988">
        <v>0</v>
      </c>
      <c r="T1988">
        <v>0</v>
      </c>
      <c r="U1988" s="1">
        <v>0</v>
      </c>
      <c r="V1988">
        <v>41</v>
      </c>
    </row>
    <row r="1989" spans="1:22" ht="15">
      <c r="A1989" s="4">
        <v>1982</v>
      </c>
      <c r="B1989">
        <v>2455</v>
      </c>
      <c r="C1989" t="s">
        <v>4360</v>
      </c>
      <c r="D1989" t="s">
        <v>121</v>
      </c>
      <c r="E1989" t="s">
        <v>317</v>
      </c>
      <c r="F1989" t="s">
        <v>4361</v>
      </c>
      <c r="G1989" t="str">
        <f>"00488561"</f>
        <v>00488561</v>
      </c>
      <c r="H1989">
        <v>26.92</v>
      </c>
      <c r="I1989">
        <v>0</v>
      </c>
      <c r="L1989">
        <v>4</v>
      </c>
      <c r="M1989">
        <v>4</v>
      </c>
      <c r="N1989">
        <v>4</v>
      </c>
      <c r="O1989">
        <v>0</v>
      </c>
      <c r="P1989">
        <v>34.92</v>
      </c>
      <c r="Q1989">
        <v>0</v>
      </c>
      <c r="R1989">
        <v>0</v>
      </c>
      <c r="S1989">
        <v>6</v>
      </c>
      <c r="T1989">
        <v>0</v>
      </c>
      <c r="U1989" s="1">
        <v>0</v>
      </c>
      <c r="V1989">
        <v>40.92</v>
      </c>
    </row>
    <row r="1990" spans="1:22" ht="15">
      <c r="A1990" s="4">
        <v>1983</v>
      </c>
      <c r="B1990">
        <v>676</v>
      </c>
      <c r="C1990" t="s">
        <v>4362</v>
      </c>
      <c r="D1990" t="s">
        <v>4363</v>
      </c>
      <c r="E1990" t="s">
        <v>4364</v>
      </c>
      <c r="F1990" t="s">
        <v>4365</v>
      </c>
      <c r="G1990" t="str">
        <f>"00503674"</f>
        <v>00503674</v>
      </c>
      <c r="H1990">
        <v>28.8</v>
      </c>
      <c r="I1990">
        <v>0</v>
      </c>
      <c r="L1990">
        <v>4</v>
      </c>
      <c r="M1990">
        <v>4</v>
      </c>
      <c r="N1990">
        <v>4</v>
      </c>
      <c r="O1990">
        <v>0</v>
      </c>
      <c r="P1990">
        <v>36.8</v>
      </c>
      <c r="Q1990">
        <v>4</v>
      </c>
      <c r="R1990">
        <v>4</v>
      </c>
      <c r="S1990">
        <v>0</v>
      </c>
      <c r="T1990">
        <v>0</v>
      </c>
      <c r="U1990" s="1">
        <v>0</v>
      </c>
      <c r="V1990">
        <v>40.8</v>
      </c>
    </row>
    <row r="1991" spans="1:22" ht="15">
      <c r="A1991" s="4">
        <v>1984</v>
      </c>
      <c r="B1991">
        <v>481</v>
      </c>
      <c r="C1991" t="s">
        <v>4366</v>
      </c>
      <c r="D1991" t="s">
        <v>580</v>
      </c>
      <c r="E1991" t="s">
        <v>83</v>
      </c>
      <c r="F1991" t="s">
        <v>4367</v>
      </c>
      <c r="G1991" t="str">
        <f>"00504835"</f>
        <v>00504835</v>
      </c>
      <c r="H1991">
        <v>28.8</v>
      </c>
      <c r="I1991">
        <v>0</v>
      </c>
      <c r="K1991">
        <v>6</v>
      </c>
      <c r="M1991">
        <v>4</v>
      </c>
      <c r="N1991">
        <v>6</v>
      </c>
      <c r="O1991">
        <v>2</v>
      </c>
      <c r="P1991">
        <v>40.8</v>
      </c>
      <c r="Q1991">
        <v>0</v>
      </c>
      <c r="R1991">
        <v>0</v>
      </c>
      <c r="S1991">
        <v>0</v>
      </c>
      <c r="T1991">
        <v>0</v>
      </c>
      <c r="U1991" s="1">
        <v>0</v>
      </c>
      <c r="V1991">
        <v>40.8</v>
      </c>
    </row>
    <row r="1992" spans="1:22" ht="15">
      <c r="A1992" s="4">
        <v>1985</v>
      </c>
      <c r="B1992">
        <v>139</v>
      </c>
      <c r="C1992" t="s">
        <v>309</v>
      </c>
      <c r="D1992" t="s">
        <v>4368</v>
      </c>
      <c r="E1992" t="s">
        <v>90</v>
      </c>
      <c r="F1992" t="s">
        <v>4369</v>
      </c>
      <c r="G1992" t="str">
        <f>"00480428"</f>
        <v>00480428</v>
      </c>
      <c r="H1992">
        <v>28.8</v>
      </c>
      <c r="I1992">
        <v>0</v>
      </c>
      <c r="J1992">
        <v>8</v>
      </c>
      <c r="M1992">
        <v>4</v>
      </c>
      <c r="N1992">
        <v>8</v>
      </c>
      <c r="O1992">
        <v>0</v>
      </c>
      <c r="P1992">
        <v>40.8</v>
      </c>
      <c r="Q1992">
        <v>0</v>
      </c>
      <c r="R1992">
        <v>0</v>
      </c>
      <c r="S1992">
        <v>0</v>
      </c>
      <c r="T1992">
        <v>0</v>
      </c>
      <c r="U1992" s="1">
        <v>0</v>
      </c>
      <c r="V1992">
        <v>40.8</v>
      </c>
    </row>
    <row r="1993" spans="1:22" ht="15">
      <c r="A1993" s="4">
        <v>1986</v>
      </c>
      <c r="B1993">
        <v>1898</v>
      </c>
      <c r="C1993" t="s">
        <v>4370</v>
      </c>
      <c r="D1993" t="s">
        <v>89</v>
      </c>
      <c r="E1993" t="s">
        <v>51</v>
      </c>
      <c r="F1993" t="s">
        <v>4371</v>
      </c>
      <c r="G1993" t="str">
        <f>"00155190"</f>
        <v>00155190</v>
      </c>
      <c r="H1993">
        <v>36.8</v>
      </c>
      <c r="I1993">
        <v>0</v>
      </c>
      <c r="M1993">
        <v>4</v>
      </c>
      <c r="N1993">
        <v>0</v>
      </c>
      <c r="O1993">
        <v>0</v>
      </c>
      <c r="P1993">
        <v>40.8</v>
      </c>
      <c r="Q1993">
        <v>0</v>
      </c>
      <c r="R1993">
        <v>0</v>
      </c>
      <c r="S1993">
        <v>0</v>
      </c>
      <c r="T1993">
        <v>0</v>
      </c>
      <c r="U1993" s="1">
        <v>0</v>
      </c>
      <c r="V1993">
        <v>40.8</v>
      </c>
    </row>
    <row r="1994" spans="1:22" ht="15">
      <c r="A1994" s="4">
        <v>1987</v>
      </c>
      <c r="B1994">
        <v>1463</v>
      </c>
      <c r="C1994" t="s">
        <v>4372</v>
      </c>
      <c r="D1994" t="s">
        <v>1112</v>
      </c>
      <c r="E1994" t="s">
        <v>877</v>
      </c>
      <c r="F1994" t="s">
        <v>4373</v>
      </c>
      <c r="G1994" t="str">
        <f>"00532754"</f>
        <v>00532754</v>
      </c>
      <c r="H1994">
        <v>28.8</v>
      </c>
      <c r="I1994">
        <v>0</v>
      </c>
      <c r="J1994">
        <v>8</v>
      </c>
      <c r="M1994">
        <v>4</v>
      </c>
      <c r="N1994">
        <v>8</v>
      </c>
      <c r="O1994">
        <v>0</v>
      </c>
      <c r="P1994">
        <v>40.8</v>
      </c>
      <c r="Q1994">
        <v>0</v>
      </c>
      <c r="R1994">
        <v>0</v>
      </c>
      <c r="S1994">
        <v>0</v>
      </c>
      <c r="T1994">
        <v>0</v>
      </c>
      <c r="U1994" s="1">
        <v>0</v>
      </c>
      <c r="V1994">
        <v>40.8</v>
      </c>
    </row>
    <row r="1995" spans="1:22" ht="15">
      <c r="A1995" s="4">
        <v>1988</v>
      </c>
      <c r="B1995">
        <v>2215</v>
      </c>
      <c r="C1995" t="s">
        <v>4374</v>
      </c>
      <c r="D1995" t="s">
        <v>4375</v>
      </c>
      <c r="E1995" t="s">
        <v>909</v>
      </c>
      <c r="F1995" t="s">
        <v>4376</v>
      </c>
      <c r="G1995" t="str">
        <f>"00201023"</f>
        <v>00201023</v>
      </c>
      <c r="H1995">
        <v>30.68</v>
      </c>
      <c r="I1995">
        <v>0</v>
      </c>
      <c r="L1995">
        <v>4</v>
      </c>
      <c r="M1995">
        <v>4</v>
      </c>
      <c r="N1995">
        <v>4</v>
      </c>
      <c r="O1995">
        <v>2</v>
      </c>
      <c r="P1995">
        <v>40.68</v>
      </c>
      <c r="Q1995">
        <v>0</v>
      </c>
      <c r="R1995">
        <v>0</v>
      </c>
      <c r="S1995">
        <v>0</v>
      </c>
      <c r="T1995">
        <v>0</v>
      </c>
      <c r="U1995" s="1">
        <v>0</v>
      </c>
      <c r="V1995">
        <v>40.68</v>
      </c>
    </row>
    <row r="1996" spans="1:22" ht="15">
      <c r="A1996" s="4">
        <v>1989</v>
      </c>
      <c r="B1996">
        <v>2891</v>
      </c>
      <c r="C1996" t="s">
        <v>4377</v>
      </c>
      <c r="D1996" t="s">
        <v>58</v>
      </c>
      <c r="E1996" t="s">
        <v>1718</v>
      </c>
      <c r="F1996" t="s">
        <v>4378</v>
      </c>
      <c r="G1996" t="str">
        <f>"00508672"</f>
        <v>00508672</v>
      </c>
      <c r="H1996">
        <v>25.6</v>
      </c>
      <c r="I1996">
        <v>0</v>
      </c>
      <c r="M1996">
        <v>0</v>
      </c>
      <c r="N1996">
        <v>0</v>
      </c>
      <c r="O1996">
        <v>0</v>
      </c>
      <c r="P1996">
        <v>25.6</v>
      </c>
      <c r="Q1996">
        <v>15</v>
      </c>
      <c r="R1996">
        <v>15</v>
      </c>
      <c r="S1996">
        <v>0</v>
      </c>
      <c r="T1996">
        <v>0</v>
      </c>
      <c r="U1996" s="1">
        <v>0</v>
      </c>
      <c r="V1996">
        <v>40.6</v>
      </c>
    </row>
    <row r="1997" spans="1:22" ht="15">
      <c r="A1997" s="4">
        <v>1990</v>
      </c>
      <c r="B1997">
        <v>647</v>
      </c>
      <c r="C1997" t="s">
        <v>2348</v>
      </c>
      <c r="D1997" t="s">
        <v>179</v>
      </c>
      <c r="E1997" t="s">
        <v>90</v>
      </c>
      <c r="F1997" t="s">
        <v>4379</v>
      </c>
      <c r="G1997" t="str">
        <f>"00439972"</f>
        <v>00439972</v>
      </c>
      <c r="H1997">
        <v>37.6</v>
      </c>
      <c r="I1997">
        <v>0</v>
      </c>
      <c r="M1997">
        <v>0</v>
      </c>
      <c r="N1997">
        <v>0</v>
      </c>
      <c r="O1997">
        <v>0</v>
      </c>
      <c r="P1997">
        <v>37.6</v>
      </c>
      <c r="Q1997">
        <v>0</v>
      </c>
      <c r="R1997">
        <v>0</v>
      </c>
      <c r="S1997">
        <v>3</v>
      </c>
      <c r="T1997">
        <v>0</v>
      </c>
      <c r="U1997" s="1">
        <v>0</v>
      </c>
      <c r="V1997">
        <v>40.6</v>
      </c>
    </row>
    <row r="1998" spans="1:22" ht="15">
      <c r="A1998" s="4">
        <v>1991</v>
      </c>
      <c r="B1998">
        <v>1717</v>
      </c>
      <c r="C1998" t="s">
        <v>1182</v>
      </c>
      <c r="D1998" t="s">
        <v>4380</v>
      </c>
      <c r="E1998" t="s">
        <v>90</v>
      </c>
      <c r="F1998" t="s">
        <v>4381</v>
      </c>
      <c r="G1998" t="str">
        <f>"00524573"</f>
        <v>00524573</v>
      </c>
      <c r="H1998">
        <v>21.6</v>
      </c>
      <c r="I1998">
        <v>0</v>
      </c>
      <c r="L1998">
        <v>4</v>
      </c>
      <c r="M1998">
        <v>4</v>
      </c>
      <c r="N1998">
        <v>4</v>
      </c>
      <c r="O1998">
        <v>2</v>
      </c>
      <c r="P1998">
        <v>31.6</v>
      </c>
      <c r="Q1998">
        <v>3</v>
      </c>
      <c r="R1998">
        <v>3</v>
      </c>
      <c r="S1998">
        <v>6</v>
      </c>
      <c r="T1998">
        <v>0</v>
      </c>
      <c r="U1998" s="1">
        <v>0</v>
      </c>
      <c r="V1998">
        <v>40.6</v>
      </c>
    </row>
    <row r="1999" spans="1:22" ht="15">
      <c r="A1999" s="4">
        <v>1992</v>
      </c>
      <c r="B1999">
        <v>3373</v>
      </c>
      <c r="C1999" t="s">
        <v>4382</v>
      </c>
      <c r="D1999" t="s">
        <v>4383</v>
      </c>
      <c r="E1999" t="s">
        <v>514</v>
      </c>
      <c r="F1999" t="s">
        <v>4384</v>
      </c>
      <c r="G1999" t="str">
        <f>"00533223"</f>
        <v>00533223</v>
      </c>
      <c r="H1999">
        <v>21.6</v>
      </c>
      <c r="I1999">
        <v>10</v>
      </c>
      <c r="M1999">
        <v>0</v>
      </c>
      <c r="N1999">
        <v>0</v>
      </c>
      <c r="O1999">
        <v>0</v>
      </c>
      <c r="P1999">
        <v>31.6</v>
      </c>
      <c r="Q1999">
        <v>0</v>
      </c>
      <c r="R1999">
        <v>0</v>
      </c>
      <c r="S1999">
        <v>9</v>
      </c>
      <c r="T1999">
        <v>0</v>
      </c>
      <c r="U1999" s="1">
        <v>0</v>
      </c>
      <c r="V1999">
        <v>40.6</v>
      </c>
    </row>
    <row r="2000" spans="1:22" ht="15">
      <c r="A2000" s="4">
        <v>1993</v>
      </c>
      <c r="B2000">
        <v>2734</v>
      </c>
      <c r="C2000" t="s">
        <v>4385</v>
      </c>
      <c r="D2000" t="s">
        <v>211</v>
      </c>
      <c r="E2000" t="s">
        <v>90</v>
      </c>
      <c r="F2000" t="s">
        <v>4386</v>
      </c>
      <c r="G2000" t="str">
        <f>"200802003628"</f>
        <v>200802003628</v>
      </c>
      <c r="H2000">
        <v>21.6</v>
      </c>
      <c r="I2000">
        <v>0</v>
      </c>
      <c r="J2000">
        <v>8</v>
      </c>
      <c r="L2000">
        <v>4</v>
      </c>
      <c r="M2000">
        <v>4</v>
      </c>
      <c r="N2000">
        <v>12</v>
      </c>
      <c r="O2000">
        <v>0</v>
      </c>
      <c r="P2000">
        <v>37.6</v>
      </c>
      <c r="Q2000">
        <v>0</v>
      </c>
      <c r="R2000">
        <v>0</v>
      </c>
      <c r="S2000">
        <v>3</v>
      </c>
      <c r="T2000">
        <v>0</v>
      </c>
      <c r="U2000" s="1">
        <v>0</v>
      </c>
      <c r="V2000">
        <v>40.6</v>
      </c>
    </row>
    <row r="2001" spans="1:22" ht="15">
      <c r="A2001" s="4">
        <v>1994</v>
      </c>
      <c r="B2001">
        <v>816</v>
      </c>
      <c r="C2001" t="s">
        <v>3589</v>
      </c>
      <c r="D2001" t="s">
        <v>211</v>
      </c>
      <c r="E2001" t="s">
        <v>15</v>
      </c>
      <c r="F2001" t="s">
        <v>4387</v>
      </c>
      <c r="G2001" t="str">
        <f>"00479283"</f>
        <v>00479283</v>
      </c>
      <c r="H2001">
        <v>31.6</v>
      </c>
      <c r="I2001">
        <v>0</v>
      </c>
      <c r="M2001">
        <v>4</v>
      </c>
      <c r="N2001">
        <v>0</v>
      </c>
      <c r="O2001">
        <v>0</v>
      </c>
      <c r="P2001">
        <v>35.6</v>
      </c>
      <c r="Q2001">
        <v>5</v>
      </c>
      <c r="R2001">
        <v>5</v>
      </c>
      <c r="S2001">
        <v>0</v>
      </c>
      <c r="T2001">
        <v>0</v>
      </c>
      <c r="U2001" s="1">
        <v>0</v>
      </c>
      <c r="V2001">
        <v>40.6</v>
      </c>
    </row>
    <row r="2002" spans="1:22" ht="15">
      <c r="A2002" s="4">
        <v>1995</v>
      </c>
      <c r="B2002">
        <v>1784</v>
      </c>
      <c r="C2002" t="s">
        <v>4388</v>
      </c>
      <c r="D2002" t="s">
        <v>29</v>
      </c>
      <c r="E2002" t="s">
        <v>186</v>
      </c>
      <c r="F2002" t="s">
        <v>4389</v>
      </c>
      <c r="G2002" t="str">
        <f>"00526663"</f>
        <v>00526663</v>
      </c>
      <c r="H2002">
        <v>21.6</v>
      </c>
      <c r="I2002">
        <v>0</v>
      </c>
      <c r="L2002">
        <v>4</v>
      </c>
      <c r="M2002">
        <v>0</v>
      </c>
      <c r="N2002">
        <v>4</v>
      </c>
      <c r="O2002">
        <v>0</v>
      </c>
      <c r="P2002">
        <v>25.6</v>
      </c>
      <c r="Q2002">
        <v>15</v>
      </c>
      <c r="R2002">
        <v>15</v>
      </c>
      <c r="S2002">
        <v>0</v>
      </c>
      <c r="T2002">
        <v>0</v>
      </c>
      <c r="U2002" s="1">
        <v>0</v>
      </c>
      <c r="V2002">
        <v>40.6</v>
      </c>
    </row>
    <row r="2003" spans="1:22" ht="15">
      <c r="A2003" s="4">
        <v>1996</v>
      </c>
      <c r="B2003">
        <v>1306</v>
      </c>
      <c r="C2003" t="s">
        <v>4390</v>
      </c>
      <c r="D2003" t="s">
        <v>4391</v>
      </c>
      <c r="E2003" t="s">
        <v>4392</v>
      </c>
      <c r="F2003" t="s">
        <v>4393</v>
      </c>
      <c r="G2003" t="str">
        <f>"00442274"</f>
        <v>00442274</v>
      </c>
      <c r="H2003">
        <v>26.56</v>
      </c>
      <c r="I2003">
        <v>10</v>
      </c>
      <c r="M2003">
        <v>4</v>
      </c>
      <c r="N2003">
        <v>0</v>
      </c>
      <c r="O2003">
        <v>0</v>
      </c>
      <c r="P2003">
        <v>40.56</v>
      </c>
      <c r="Q2003">
        <v>0</v>
      </c>
      <c r="R2003">
        <v>0</v>
      </c>
      <c r="S2003">
        <v>0</v>
      </c>
      <c r="T2003">
        <v>0</v>
      </c>
      <c r="U2003" s="1">
        <v>0</v>
      </c>
      <c r="V2003">
        <v>40.56</v>
      </c>
    </row>
    <row r="2004" spans="1:22" ht="15">
      <c r="A2004" s="4">
        <v>1997</v>
      </c>
      <c r="B2004">
        <v>469</v>
      </c>
      <c r="C2004" t="s">
        <v>4394</v>
      </c>
      <c r="D2004" t="s">
        <v>4395</v>
      </c>
      <c r="E2004" t="s">
        <v>4396</v>
      </c>
      <c r="F2004" t="s">
        <v>4397</v>
      </c>
      <c r="G2004" t="str">
        <f>"00530034"</f>
        <v>00530034</v>
      </c>
      <c r="H2004">
        <v>34.56</v>
      </c>
      <c r="I2004">
        <v>0</v>
      </c>
      <c r="M2004">
        <v>0</v>
      </c>
      <c r="N2004">
        <v>0</v>
      </c>
      <c r="O2004">
        <v>0</v>
      </c>
      <c r="P2004">
        <v>34.56</v>
      </c>
      <c r="Q2004">
        <v>0</v>
      </c>
      <c r="R2004">
        <v>0</v>
      </c>
      <c r="S2004">
        <v>6</v>
      </c>
      <c r="T2004">
        <v>0</v>
      </c>
      <c r="U2004" s="1">
        <v>0</v>
      </c>
      <c r="V2004">
        <v>40.56</v>
      </c>
    </row>
    <row r="2005" spans="1:22" ht="15">
      <c r="A2005" s="4">
        <v>1998</v>
      </c>
      <c r="B2005">
        <v>2939</v>
      </c>
      <c r="C2005" t="s">
        <v>4398</v>
      </c>
      <c r="D2005" t="s">
        <v>4399</v>
      </c>
      <c r="E2005" t="s">
        <v>19</v>
      </c>
      <c r="F2005" t="s">
        <v>4400</v>
      </c>
      <c r="G2005" t="str">
        <f>"200807000793"</f>
        <v>200807000793</v>
      </c>
      <c r="H2005">
        <v>27.48</v>
      </c>
      <c r="I2005">
        <v>10</v>
      </c>
      <c r="M2005">
        <v>0</v>
      </c>
      <c r="N2005">
        <v>0</v>
      </c>
      <c r="O2005">
        <v>0</v>
      </c>
      <c r="P2005">
        <v>37.48</v>
      </c>
      <c r="Q2005">
        <v>0</v>
      </c>
      <c r="R2005">
        <v>0</v>
      </c>
      <c r="S2005">
        <v>3</v>
      </c>
      <c r="T2005">
        <v>0</v>
      </c>
      <c r="U2005" s="1">
        <v>0</v>
      </c>
      <c r="V2005">
        <v>40.48</v>
      </c>
    </row>
    <row r="2006" spans="1:22" ht="15">
      <c r="A2006" s="4">
        <v>1999</v>
      </c>
      <c r="B2006">
        <v>3002</v>
      </c>
      <c r="C2006" t="s">
        <v>4401</v>
      </c>
      <c r="D2006" t="s">
        <v>40</v>
      </c>
      <c r="E2006" t="s">
        <v>90</v>
      </c>
      <c r="F2006" t="s">
        <v>4402</v>
      </c>
      <c r="G2006" t="str">
        <f>"00531586"</f>
        <v>00531586</v>
      </c>
      <c r="H2006">
        <v>14.4</v>
      </c>
      <c r="I2006">
        <v>0</v>
      </c>
      <c r="M2006">
        <v>4</v>
      </c>
      <c r="N2006">
        <v>0</v>
      </c>
      <c r="O2006">
        <v>0</v>
      </c>
      <c r="P2006">
        <v>18.4</v>
      </c>
      <c r="Q2006">
        <v>19</v>
      </c>
      <c r="R2006">
        <v>19</v>
      </c>
      <c r="S2006">
        <v>3</v>
      </c>
      <c r="T2006">
        <v>0</v>
      </c>
      <c r="U2006" s="1">
        <v>0</v>
      </c>
      <c r="V2006">
        <v>40.4</v>
      </c>
    </row>
    <row r="2007" spans="1:22" ht="15">
      <c r="A2007" s="4">
        <v>2000</v>
      </c>
      <c r="B2007">
        <v>522</v>
      </c>
      <c r="C2007" t="s">
        <v>4403</v>
      </c>
      <c r="D2007" t="s">
        <v>4404</v>
      </c>
      <c r="E2007" t="s">
        <v>4405</v>
      </c>
      <c r="F2007" t="s">
        <v>4406</v>
      </c>
      <c r="G2007" t="str">
        <f>"00508829"</f>
        <v>00508829</v>
      </c>
      <c r="H2007">
        <v>14.4</v>
      </c>
      <c r="I2007">
        <v>0</v>
      </c>
      <c r="L2007">
        <v>4</v>
      </c>
      <c r="M2007">
        <v>0</v>
      </c>
      <c r="N2007">
        <v>4</v>
      </c>
      <c r="O2007">
        <v>0</v>
      </c>
      <c r="P2007">
        <v>18.4</v>
      </c>
      <c r="Q2007">
        <v>22</v>
      </c>
      <c r="R2007">
        <v>22</v>
      </c>
      <c r="S2007">
        <v>0</v>
      </c>
      <c r="T2007">
        <v>0</v>
      </c>
      <c r="U2007" s="1">
        <v>0</v>
      </c>
      <c r="V2007">
        <v>40.4</v>
      </c>
    </row>
    <row r="2008" spans="1:22" ht="15">
      <c r="A2008" s="4">
        <v>2001</v>
      </c>
      <c r="B2008">
        <v>245</v>
      </c>
      <c r="C2008" t="s">
        <v>4407</v>
      </c>
      <c r="D2008" t="s">
        <v>130</v>
      </c>
      <c r="E2008" t="s">
        <v>11</v>
      </c>
      <c r="F2008" t="s">
        <v>4408</v>
      </c>
      <c r="G2008" t="str">
        <f>"00190792"</f>
        <v>00190792</v>
      </c>
      <c r="H2008">
        <v>30.4</v>
      </c>
      <c r="I2008">
        <v>0</v>
      </c>
      <c r="M2008">
        <v>4</v>
      </c>
      <c r="N2008">
        <v>0</v>
      </c>
      <c r="O2008">
        <v>0</v>
      </c>
      <c r="P2008">
        <v>34.4</v>
      </c>
      <c r="Q2008">
        <v>0</v>
      </c>
      <c r="R2008">
        <v>0</v>
      </c>
      <c r="S2008">
        <v>6</v>
      </c>
      <c r="T2008">
        <v>0</v>
      </c>
      <c r="U2008" s="1">
        <v>0</v>
      </c>
      <c r="V2008">
        <v>40.4</v>
      </c>
    </row>
    <row r="2009" spans="1:22" ht="15">
      <c r="A2009" s="4">
        <v>2002</v>
      </c>
      <c r="B2009">
        <v>2814</v>
      </c>
      <c r="C2009" t="s">
        <v>4202</v>
      </c>
      <c r="D2009" t="s">
        <v>363</v>
      </c>
      <c r="E2009" t="s">
        <v>19</v>
      </c>
      <c r="F2009" t="s">
        <v>4409</v>
      </c>
      <c r="G2009" t="str">
        <f>"00531376"</f>
        <v>00531376</v>
      </c>
      <c r="H2009">
        <v>34.4</v>
      </c>
      <c r="I2009">
        <v>0</v>
      </c>
      <c r="M2009">
        <v>0</v>
      </c>
      <c r="N2009">
        <v>0</v>
      </c>
      <c r="O2009">
        <v>0</v>
      </c>
      <c r="P2009">
        <v>34.4</v>
      </c>
      <c r="Q2009">
        <v>0</v>
      </c>
      <c r="R2009">
        <v>0</v>
      </c>
      <c r="S2009">
        <v>6</v>
      </c>
      <c r="T2009">
        <v>0</v>
      </c>
      <c r="U2009" s="1">
        <v>0</v>
      </c>
      <c r="V2009">
        <v>40.4</v>
      </c>
    </row>
    <row r="2010" spans="1:22" ht="15">
      <c r="A2010" s="4">
        <v>2003</v>
      </c>
      <c r="B2010">
        <v>702</v>
      </c>
      <c r="C2010" t="s">
        <v>4410</v>
      </c>
      <c r="D2010" t="s">
        <v>1006</v>
      </c>
      <c r="E2010" t="s">
        <v>270</v>
      </c>
      <c r="F2010" t="s">
        <v>4411</v>
      </c>
      <c r="G2010" t="str">
        <f>"00500818"</f>
        <v>00500818</v>
      </c>
      <c r="H2010">
        <v>14.4</v>
      </c>
      <c r="I2010">
        <v>0</v>
      </c>
      <c r="J2010">
        <v>8</v>
      </c>
      <c r="M2010">
        <v>0</v>
      </c>
      <c r="N2010">
        <v>8</v>
      </c>
      <c r="O2010">
        <v>0</v>
      </c>
      <c r="P2010">
        <v>22.4</v>
      </c>
      <c r="Q2010">
        <v>18</v>
      </c>
      <c r="R2010">
        <v>18</v>
      </c>
      <c r="S2010">
        <v>0</v>
      </c>
      <c r="T2010">
        <v>0</v>
      </c>
      <c r="U2010" s="1">
        <v>0</v>
      </c>
      <c r="V2010">
        <v>40.4</v>
      </c>
    </row>
    <row r="2011" spans="1:22" ht="15">
      <c r="A2011" s="4">
        <v>2004</v>
      </c>
      <c r="B2011">
        <v>1391</v>
      </c>
      <c r="C2011" t="s">
        <v>3524</v>
      </c>
      <c r="D2011" t="s">
        <v>4412</v>
      </c>
      <c r="E2011" t="s">
        <v>403</v>
      </c>
      <c r="F2011" t="s">
        <v>4413</v>
      </c>
      <c r="G2011" t="str">
        <f>"00031828"</f>
        <v>00031828</v>
      </c>
      <c r="H2011">
        <v>22.4</v>
      </c>
      <c r="I2011">
        <v>10</v>
      </c>
      <c r="L2011">
        <v>4</v>
      </c>
      <c r="M2011">
        <v>4</v>
      </c>
      <c r="N2011">
        <v>4</v>
      </c>
      <c r="O2011">
        <v>0</v>
      </c>
      <c r="P2011">
        <v>40.4</v>
      </c>
      <c r="Q2011">
        <v>0</v>
      </c>
      <c r="R2011">
        <v>0</v>
      </c>
      <c r="S2011">
        <v>0</v>
      </c>
      <c r="T2011">
        <v>0</v>
      </c>
      <c r="U2011" s="1">
        <v>0</v>
      </c>
      <c r="V2011">
        <v>40.4</v>
      </c>
    </row>
    <row r="2012" spans="1:22" ht="15">
      <c r="A2012" s="4">
        <v>2005</v>
      </c>
      <c r="B2012">
        <v>124</v>
      </c>
      <c r="C2012" t="s">
        <v>4414</v>
      </c>
      <c r="D2012" t="s">
        <v>14</v>
      </c>
      <c r="E2012" t="s">
        <v>19</v>
      </c>
      <c r="F2012" t="s">
        <v>4415</v>
      </c>
      <c r="G2012" t="str">
        <f>"00040990"</f>
        <v>00040990</v>
      </c>
      <c r="H2012">
        <v>25.32</v>
      </c>
      <c r="I2012">
        <v>0</v>
      </c>
      <c r="M2012">
        <v>4</v>
      </c>
      <c r="N2012">
        <v>0</v>
      </c>
      <c r="O2012">
        <v>0</v>
      </c>
      <c r="P2012">
        <v>29.32</v>
      </c>
      <c r="Q2012">
        <v>5</v>
      </c>
      <c r="R2012">
        <v>5</v>
      </c>
      <c r="S2012">
        <v>6</v>
      </c>
      <c r="T2012">
        <v>0</v>
      </c>
      <c r="U2012" s="1">
        <v>0</v>
      </c>
      <c r="V2012">
        <v>40.32</v>
      </c>
    </row>
    <row r="2013" spans="1:22" ht="15">
      <c r="A2013" s="4">
        <v>2006</v>
      </c>
      <c r="B2013">
        <v>324</v>
      </c>
      <c r="C2013" t="s">
        <v>4416</v>
      </c>
      <c r="D2013" t="s">
        <v>102</v>
      </c>
      <c r="E2013" t="s">
        <v>344</v>
      </c>
      <c r="F2013" t="s">
        <v>4417</v>
      </c>
      <c r="G2013" t="str">
        <f>"00520501"</f>
        <v>00520501</v>
      </c>
      <c r="H2013">
        <v>7.2</v>
      </c>
      <c r="I2013">
        <v>0</v>
      </c>
      <c r="L2013">
        <v>4</v>
      </c>
      <c r="M2013">
        <v>0</v>
      </c>
      <c r="N2013">
        <v>4</v>
      </c>
      <c r="O2013">
        <v>0</v>
      </c>
      <c r="P2013">
        <v>11.2</v>
      </c>
      <c r="Q2013">
        <v>29</v>
      </c>
      <c r="R2013">
        <v>29</v>
      </c>
      <c r="S2013">
        <v>0</v>
      </c>
      <c r="T2013">
        <v>0</v>
      </c>
      <c r="U2013" s="1">
        <v>0</v>
      </c>
      <c r="V2013">
        <v>40.2</v>
      </c>
    </row>
    <row r="2014" spans="1:22" ht="15">
      <c r="A2014" s="4">
        <v>2007</v>
      </c>
      <c r="B2014">
        <v>1488</v>
      </c>
      <c r="C2014" t="s">
        <v>4418</v>
      </c>
      <c r="D2014" t="s">
        <v>4419</v>
      </c>
      <c r="E2014" t="s">
        <v>90</v>
      </c>
      <c r="F2014" t="s">
        <v>4420</v>
      </c>
      <c r="G2014" t="str">
        <f>"00162925"</f>
        <v>00162925</v>
      </c>
      <c r="H2014">
        <v>7.2</v>
      </c>
      <c r="I2014">
        <v>0</v>
      </c>
      <c r="M2014">
        <v>0</v>
      </c>
      <c r="N2014">
        <v>0</v>
      </c>
      <c r="O2014">
        <v>0</v>
      </c>
      <c r="P2014">
        <v>7.2</v>
      </c>
      <c r="Q2014">
        <v>24</v>
      </c>
      <c r="R2014">
        <v>24</v>
      </c>
      <c r="S2014">
        <v>9</v>
      </c>
      <c r="T2014">
        <v>0</v>
      </c>
      <c r="U2014" s="1">
        <v>0</v>
      </c>
      <c r="V2014">
        <v>40.2</v>
      </c>
    </row>
    <row r="2015" spans="1:22" ht="15">
      <c r="A2015" s="4">
        <v>2008</v>
      </c>
      <c r="B2015">
        <v>3135</v>
      </c>
      <c r="C2015" t="s">
        <v>881</v>
      </c>
      <c r="D2015" t="s">
        <v>14</v>
      </c>
      <c r="E2015" t="s">
        <v>1196</v>
      </c>
      <c r="F2015" t="s">
        <v>4421</v>
      </c>
      <c r="G2015" t="str">
        <f>"00530527"</f>
        <v>00530527</v>
      </c>
      <c r="H2015">
        <v>13.16</v>
      </c>
      <c r="I2015">
        <v>0</v>
      </c>
      <c r="M2015">
        <v>0</v>
      </c>
      <c r="N2015">
        <v>0</v>
      </c>
      <c r="O2015">
        <v>2</v>
      </c>
      <c r="P2015">
        <v>15.16</v>
      </c>
      <c r="Q2015">
        <v>19</v>
      </c>
      <c r="R2015">
        <v>19</v>
      </c>
      <c r="S2015">
        <v>6</v>
      </c>
      <c r="T2015">
        <v>0</v>
      </c>
      <c r="U2015" s="1">
        <v>0</v>
      </c>
      <c r="V2015">
        <v>40.16</v>
      </c>
    </row>
    <row r="2016" spans="1:22" ht="15">
      <c r="A2016" s="4">
        <v>2009</v>
      </c>
      <c r="B2016">
        <v>3414</v>
      </c>
      <c r="C2016" t="s">
        <v>4422</v>
      </c>
      <c r="D2016" t="s">
        <v>127</v>
      </c>
      <c r="E2016" t="s">
        <v>440</v>
      </c>
      <c r="F2016" t="s">
        <v>4423</v>
      </c>
      <c r="G2016" t="str">
        <f>"00021953"</f>
        <v>00021953</v>
      </c>
      <c r="H2016">
        <v>36</v>
      </c>
      <c r="I2016">
        <v>0</v>
      </c>
      <c r="M2016">
        <v>4</v>
      </c>
      <c r="N2016">
        <v>0</v>
      </c>
      <c r="O2016">
        <v>0</v>
      </c>
      <c r="P2016">
        <v>40</v>
      </c>
      <c r="Q2016">
        <v>0</v>
      </c>
      <c r="R2016">
        <v>0</v>
      </c>
      <c r="S2016">
        <v>0</v>
      </c>
      <c r="T2016">
        <v>0</v>
      </c>
      <c r="U2016" s="1">
        <v>0</v>
      </c>
      <c r="V2016">
        <v>40</v>
      </c>
    </row>
    <row r="2017" spans="1:22" ht="15">
      <c r="A2017" s="4">
        <v>2010</v>
      </c>
      <c r="B2017">
        <v>884</v>
      </c>
      <c r="C2017" t="s">
        <v>4424</v>
      </c>
      <c r="D2017" t="s">
        <v>4425</v>
      </c>
      <c r="E2017" t="s">
        <v>317</v>
      </c>
      <c r="F2017" t="s">
        <v>4426</v>
      </c>
      <c r="G2017" t="str">
        <f>"00512252"</f>
        <v>00512252</v>
      </c>
      <c r="H2017">
        <v>36</v>
      </c>
      <c r="I2017">
        <v>0</v>
      </c>
      <c r="L2017">
        <v>4</v>
      </c>
      <c r="M2017">
        <v>0</v>
      </c>
      <c r="N2017">
        <v>4</v>
      </c>
      <c r="O2017">
        <v>0</v>
      </c>
      <c r="P2017">
        <v>40</v>
      </c>
      <c r="Q2017">
        <v>0</v>
      </c>
      <c r="R2017">
        <v>0</v>
      </c>
      <c r="S2017">
        <v>0</v>
      </c>
      <c r="T2017">
        <v>0</v>
      </c>
      <c r="U2017" s="1">
        <v>0</v>
      </c>
      <c r="V2017">
        <v>40</v>
      </c>
    </row>
    <row r="2018" spans="1:22" ht="15">
      <c r="A2018" s="4">
        <v>2011</v>
      </c>
      <c r="B2018">
        <v>1928</v>
      </c>
      <c r="C2018" t="s">
        <v>4427</v>
      </c>
      <c r="D2018" t="s">
        <v>643</v>
      </c>
      <c r="E2018" t="s">
        <v>157</v>
      </c>
      <c r="F2018" t="s">
        <v>4428</v>
      </c>
      <c r="G2018" t="str">
        <f>"00476132"</f>
        <v>00476132</v>
      </c>
      <c r="H2018">
        <v>36</v>
      </c>
      <c r="I2018">
        <v>0</v>
      </c>
      <c r="M2018">
        <v>4</v>
      </c>
      <c r="N2018">
        <v>0</v>
      </c>
      <c r="O2018">
        <v>0</v>
      </c>
      <c r="P2018">
        <v>40</v>
      </c>
      <c r="Q2018">
        <v>0</v>
      </c>
      <c r="R2018">
        <v>0</v>
      </c>
      <c r="S2018">
        <v>0</v>
      </c>
      <c r="T2018">
        <v>0</v>
      </c>
      <c r="U2018" s="1">
        <v>0</v>
      </c>
      <c r="V2018">
        <v>40</v>
      </c>
    </row>
    <row r="2019" spans="1:22" ht="15">
      <c r="A2019" s="4">
        <v>2012</v>
      </c>
      <c r="B2019">
        <v>2616</v>
      </c>
      <c r="C2019" t="s">
        <v>4429</v>
      </c>
      <c r="D2019" t="s">
        <v>582</v>
      </c>
      <c r="E2019" t="s">
        <v>19</v>
      </c>
      <c r="F2019" t="s">
        <v>4430</v>
      </c>
      <c r="G2019" t="str">
        <f>"00533446"</f>
        <v>00533446</v>
      </c>
      <c r="H2019">
        <v>36</v>
      </c>
      <c r="I2019">
        <v>0</v>
      </c>
      <c r="M2019">
        <v>4</v>
      </c>
      <c r="N2019">
        <v>0</v>
      </c>
      <c r="O2019">
        <v>0</v>
      </c>
      <c r="P2019">
        <v>40</v>
      </c>
      <c r="Q2019">
        <v>0</v>
      </c>
      <c r="R2019">
        <v>0</v>
      </c>
      <c r="S2019">
        <v>0</v>
      </c>
      <c r="T2019">
        <v>0</v>
      </c>
      <c r="U2019" s="1">
        <v>0</v>
      </c>
      <c r="V2019">
        <v>40</v>
      </c>
    </row>
    <row r="2020" spans="1:22" ht="15">
      <c r="A2020" s="4">
        <v>2013</v>
      </c>
      <c r="B2020">
        <v>607</v>
      </c>
      <c r="C2020" t="s">
        <v>4431</v>
      </c>
      <c r="D2020" t="s">
        <v>93</v>
      </c>
      <c r="E2020" t="s">
        <v>11</v>
      </c>
      <c r="F2020" t="s">
        <v>4432</v>
      </c>
      <c r="G2020" t="str">
        <f>"00512333"</f>
        <v>00512333</v>
      </c>
      <c r="H2020">
        <v>36</v>
      </c>
      <c r="I2020">
        <v>0</v>
      </c>
      <c r="M2020">
        <v>4</v>
      </c>
      <c r="N2020">
        <v>0</v>
      </c>
      <c r="O2020">
        <v>0</v>
      </c>
      <c r="P2020">
        <v>40</v>
      </c>
      <c r="Q2020">
        <v>0</v>
      </c>
      <c r="R2020">
        <v>0</v>
      </c>
      <c r="S2020">
        <v>0</v>
      </c>
      <c r="T2020">
        <v>0</v>
      </c>
      <c r="U2020" s="1">
        <v>0</v>
      </c>
      <c r="V2020">
        <v>40</v>
      </c>
    </row>
    <row r="2021" spans="1:22" ht="15">
      <c r="A2021" s="4">
        <v>2014</v>
      </c>
      <c r="B2021">
        <v>1719</v>
      </c>
      <c r="C2021" t="s">
        <v>4433</v>
      </c>
      <c r="D2021" t="s">
        <v>640</v>
      </c>
      <c r="E2021" t="s">
        <v>11</v>
      </c>
      <c r="F2021" t="s">
        <v>4434</v>
      </c>
      <c r="G2021" t="str">
        <f>"200911000361"</f>
        <v>200911000361</v>
      </c>
      <c r="H2021">
        <v>36</v>
      </c>
      <c r="I2021">
        <v>0</v>
      </c>
      <c r="M2021">
        <v>4</v>
      </c>
      <c r="N2021">
        <v>0</v>
      </c>
      <c r="O2021">
        <v>0</v>
      </c>
      <c r="P2021">
        <v>40</v>
      </c>
      <c r="Q2021">
        <v>0</v>
      </c>
      <c r="R2021">
        <v>0</v>
      </c>
      <c r="S2021">
        <v>0</v>
      </c>
      <c r="T2021">
        <v>0</v>
      </c>
      <c r="U2021" s="1">
        <v>0</v>
      </c>
      <c r="V2021">
        <v>40</v>
      </c>
    </row>
    <row r="2022" spans="1:22" ht="15">
      <c r="A2022" s="4">
        <v>2015</v>
      </c>
      <c r="B2022">
        <v>2158</v>
      </c>
      <c r="C2022" t="s">
        <v>570</v>
      </c>
      <c r="D2022" t="s">
        <v>3681</v>
      </c>
      <c r="E2022" t="s">
        <v>90</v>
      </c>
      <c r="F2022" t="s">
        <v>4435</v>
      </c>
      <c r="G2022" t="str">
        <f>"00469431"</f>
        <v>00469431</v>
      </c>
      <c r="H2022">
        <v>16</v>
      </c>
      <c r="I2022">
        <v>10</v>
      </c>
      <c r="M2022">
        <v>0</v>
      </c>
      <c r="N2022">
        <v>0</v>
      </c>
      <c r="O2022">
        <v>0</v>
      </c>
      <c r="P2022">
        <v>26</v>
      </c>
      <c r="Q2022">
        <v>11</v>
      </c>
      <c r="R2022">
        <v>11</v>
      </c>
      <c r="S2022">
        <v>3</v>
      </c>
      <c r="T2022">
        <v>0</v>
      </c>
      <c r="U2022" s="1">
        <v>0</v>
      </c>
      <c r="V2022">
        <v>40</v>
      </c>
    </row>
    <row r="2023" spans="1:22" ht="15">
      <c r="A2023" s="4">
        <v>2016</v>
      </c>
      <c r="B2023">
        <v>2075</v>
      </c>
      <c r="C2023" t="s">
        <v>4436</v>
      </c>
      <c r="D2023" t="s">
        <v>799</v>
      </c>
      <c r="E2023" t="s">
        <v>1343</v>
      </c>
      <c r="F2023" t="s">
        <v>4437</v>
      </c>
      <c r="G2023" t="str">
        <f>"00531853"</f>
        <v>00531853</v>
      </c>
      <c r="H2023">
        <v>36</v>
      </c>
      <c r="I2023">
        <v>0</v>
      </c>
      <c r="M2023">
        <v>4</v>
      </c>
      <c r="N2023">
        <v>0</v>
      </c>
      <c r="O2023">
        <v>0</v>
      </c>
      <c r="P2023">
        <v>40</v>
      </c>
      <c r="Q2023">
        <v>0</v>
      </c>
      <c r="R2023">
        <v>0</v>
      </c>
      <c r="S2023">
        <v>0</v>
      </c>
      <c r="T2023">
        <v>0</v>
      </c>
      <c r="U2023" s="1">
        <v>0</v>
      </c>
      <c r="V2023">
        <v>40</v>
      </c>
    </row>
    <row r="2024" spans="1:22" ht="15">
      <c r="A2024" s="4">
        <v>2017</v>
      </c>
      <c r="B2024">
        <v>2289</v>
      </c>
      <c r="C2024" t="s">
        <v>4438</v>
      </c>
      <c r="D2024" t="s">
        <v>4439</v>
      </c>
      <c r="E2024" t="s">
        <v>403</v>
      </c>
      <c r="F2024" t="s">
        <v>4440</v>
      </c>
      <c r="G2024" t="str">
        <f>"00533829"</f>
        <v>00533829</v>
      </c>
      <c r="H2024">
        <v>36</v>
      </c>
      <c r="I2024">
        <v>0</v>
      </c>
      <c r="L2024">
        <v>4</v>
      </c>
      <c r="M2024">
        <v>0</v>
      </c>
      <c r="N2024">
        <v>4</v>
      </c>
      <c r="O2024">
        <v>0</v>
      </c>
      <c r="P2024">
        <v>40</v>
      </c>
      <c r="Q2024">
        <v>0</v>
      </c>
      <c r="R2024">
        <v>0</v>
      </c>
      <c r="S2024">
        <v>0</v>
      </c>
      <c r="T2024">
        <v>0</v>
      </c>
      <c r="U2024" s="1">
        <v>0</v>
      </c>
      <c r="V2024">
        <v>40</v>
      </c>
    </row>
    <row r="2025" spans="1:22" ht="15">
      <c r="A2025" s="4">
        <v>2018</v>
      </c>
      <c r="B2025">
        <v>3144</v>
      </c>
      <c r="C2025" t="s">
        <v>4441</v>
      </c>
      <c r="D2025" t="s">
        <v>89</v>
      </c>
      <c r="E2025" t="s">
        <v>19</v>
      </c>
      <c r="F2025" t="s">
        <v>4442</v>
      </c>
      <c r="G2025" t="str">
        <f>"00519054"</f>
        <v>00519054</v>
      </c>
      <c r="H2025">
        <v>36</v>
      </c>
      <c r="I2025">
        <v>0</v>
      </c>
      <c r="M2025">
        <v>4</v>
      </c>
      <c r="N2025">
        <v>0</v>
      </c>
      <c r="O2025">
        <v>0</v>
      </c>
      <c r="P2025">
        <v>40</v>
      </c>
      <c r="Q2025">
        <v>0</v>
      </c>
      <c r="R2025">
        <v>0</v>
      </c>
      <c r="S2025">
        <v>0</v>
      </c>
      <c r="T2025">
        <v>0</v>
      </c>
      <c r="U2025" s="1">
        <v>0</v>
      </c>
      <c r="V2025">
        <v>40</v>
      </c>
    </row>
    <row r="2026" spans="1:22" ht="15">
      <c r="A2026" s="4">
        <v>2019</v>
      </c>
      <c r="B2026">
        <v>31</v>
      </c>
      <c r="C2026" t="s">
        <v>4443</v>
      </c>
      <c r="D2026" t="s">
        <v>14</v>
      </c>
      <c r="E2026" t="s">
        <v>23</v>
      </c>
      <c r="F2026" t="s">
        <v>4444</v>
      </c>
      <c r="G2026" t="str">
        <f>"201411001614"</f>
        <v>201411001614</v>
      </c>
      <c r="H2026">
        <v>32</v>
      </c>
      <c r="I2026">
        <v>0</v>
      </c>
      <c r="L2026">
        <v>4</v>
      </c>
      <c r="M2026">
        <v>4</v>
      </c>
      <c r="N2026">
        <v>4</v>
      </c>
      <c r="O2026">
        <v>0</v>
      </c>
      <c r="P2026">
        <v>40</v>
      </c>
      <c r="Q2026">
        <v>0</v>
      </c>
      <c r="R2026">
        <v>0</v>
      </c>
      <c r="S2026">
        <v>0</v>
      </c>
      <c r="T2026">
        <v>0</v>
      </c>
      <c r="U2026" s="1">
        <v>0</v>
      </c>
      <c r="V2026">
        <v>40</v>
      </c>
    </row>
    <row r="2027" spans="1:22" ht="15">
      <c r="A2027" s="4">
        <v>2020</v>
      </c>
      <c r="B2027">
        <v>1312</v>
      </c>
      <c r="C2027" t="s">
        <v>4445</v>
      </c>
      <c r="D2027" t="s">
        <v>232</v>
      </c>
      <c r="E2027" t="s">
        <v>4446</v>
      </c>
      <c r="F2027" t="s">
        <v>4447</v>
      </c>
      <c r="G2027" t="str">
        <f>"00498684"</f>
        <v>00498684</v>
      </c>
      <c r="H2027">
        <v>36</v>
      </c>
      <c r="I2027">
        <v>0</v>
      </c>
      <c r="M2027">
        <v>4</v>
      </c>
      <c r="N2027">
        <v>0</v>
      </c>
      <c r="O2027">
        <v>0</v>
      </c>
      <c r="P2027">
        <v>40</v>
      </c>
      <c r="Q2027">
        <v>0</v>
      </c>
      <c r="R2027">
        <v>0</v>
      </c>
      <c r="S2027">
        <v>0</v>
      </c>
      <c r="T2027">
        <v>0</v>
      </c>
      <c r="U2027" s="1">
        <v>0</v>
      </c>
      <c r="V2027">
        <v>40</v>
      </c>
    </row>
    <row r="2028" spans="1:22" ht="15">
      <c r="A2028" s="4">
        <v>2021</v>
      </c>
      <c r="B2028">
        <v>1235</v>
      </c>
      <c r="C2028" t="s">
        <v>4448</v>
      </c>
      <c r="D2028" t="s">
        <v>211</v>
      </c>
      <c r="E2028" t="s">
        <v>51</v>
      </c>
      <c r="F2028" t="s">
        <v>4449</v>
      </c>
      <c r="G2028" t="str">
        <f>"00101705"</f>
        <v>00101705</v>
      </c>
      <c r="H2028">
        <v>30</v>
      </c>
      <c r="I2028">
        <v>0</v>
      </c>
      <c r="M2028">
        <v>4</v>
      </c>
      <c r="N2028">
        <v>0</v>
      </c>
      <c r="O2028">
        <v>0</v>
      </c>
      <c r="P2028">
        <v>34</v>
      </c>
      <c r="Q2028">
        <v>0</v>
      </c>
      <c r="R2028">
        <v>0</v>
      </c>
      <c r="S2028">
        <v>6</v>
      </c>
      <c r="T2028">
        <v>0</v>
      </c>
      <c r="U2028" s="1">
        <v>0</v>
      </c>
      <c r="V2028">
        <v>40</v>
      </c>
    </row>
    <row r="2029" spans="1:22" ht="15">
      <c r="A2029" s="4">
        <v>2022</v>
      </c>
      <c r="B2029">
        <v>2468</v>
      </c>
      <c r="C2029" t="s">
        <v>4450</v>
      </c>
      <c r="D2029" t="s">
        <v>222</v>
      </c>
      <c r="E2029" t="s">
        <v>55</v>
      </c>
      <c r="F2029" t="s">
        <v>4451</v>
      </c>
      <c r="G2029" t="str">
        <f>"00530529"</f>
        <v>00530529</v>
      </c>
      <c r="H2029">
        <v>32</v>
      </c>
      <c r="I2029">
        <v>0</v>
      </c>
      <c r="L2029">
        <v>4</v>
      </c>
      <c r="M2029">
        <v>0</v>
      </c>
      <c r="N2029">
        <v>4</v>
      </c>
      <c r="O2029">
        <v>0</v>
      </c>
      <c r="P2029">
        <v>36</v>
      </c>
      <c r="Q2029">
        <v>1</v>
      </c>
      <c r="R2029">
        <v>1</v>
      </c>
      <c r="S2029">
        <v>3</v>
      </c>
      <c r="T2029">
        <v>0</v>
      </c>
      <c r="U2029" s="1">
        <v>0</v>
      </c>
      <c r="V2029">
        <v>40</v>
      </c>
    </row>
    <row r="2030" spans="1:22" ht="15">
      <c r="A2030" s="4">
        <v>2023</v>
      </c>
      <c r="B2030">
        <v>314</v>
      </c>
      <c r="C2030" t="s">
        <v>4452</v>
      </c>
      <c r="D2030" t="s">
        <v>118</v>
      </c>
      <c r="E2030" t="s">
        <v>2414</v>
      </c>
      <c r="F2030" t="s">
        <v>4453</v>
      </c>
      <c r="G2030" t="str">
        <f>"00532611"</f>
        <v>00532611</v>
      </c>
      <c r="H2030">
        <v>36</v>
      </c>
      <c r="I2030">
        <v>0</v>
      </c>
      <c r="M2030">
        <v>4</v>
      </c>
      <c r="N2030">
        <v>0</v>
      </c>
      <c r="O2030">
        <v>0</v>
      </c>
      <c r="P2030">
        <v>40</v>
      </c>
      <c r="Q2030">
        <v>0</v>
      </c>
      <c r="R2030">
        <v>0</v>
      </c>
      <c r="S2030">
        <v>0</v>
      </c>
      <c r="T2030">
        <v>0</v>
      </c>
      <c r="U2030" s="1">
        <v>0</v>
      </c>
      <c r="V2030">
        <v>40</v>
      </c>
    </row>
    <row r="2031" spans="1:22" ht="15">
      <c r="A2031" s="4">
        <v>2024</v>
      </c>
      <c r="B2031">
        <v>1575</v>
      </c>
      <c r="C2031" t="s">
        <v>4454</v>
      </c>
      <c r="D2031" t="s">
        <v>643</v>
      </c>
      <c r="E2031" t="s">
        <v>19</v>
      </c>
      <c r="F2031" t="s">
        <v>4455</v>
      </c>
      <c r="G2031" t="str">
        <f>"201504000973"</f>
        <v>201504000973</v>
      </c>
      <c r="H2031">
        <v>36</v>
      </c>
      <c r="I2031">
        <v>0</v>
      </c>
      <c r="M2031">
        <v>4</v>
      </c>
      <c r="N2031">
        <v>0</v>
      </c>
      <c r="O2031">
        <v>0</v>
      </c>
      <c r="P2031">
        <v>40</v>
      </c>
      <c r="Q2031">
        <v>0</v>
      </c>
      <c r="R2031">
        <v>0</v>
      </c>
      <c r="S2031">
        <v>0</v>
      </c>
      <c r="T2031">
        <v>0</v>
      </c>
      <c r="U2031" s="1">
        <v>0</v>
      </c>
      <c r="V2031">
        <v>40</v>
      </c>
    </row>
    <row r="2032" spans="1:22" ht="15">
      <c r="A2032" s="4">
        <v>2025</v>
      </c>
      <c r="B2032">
        <v>1916</v>
      </c>
      <c r="C2032" t="s">
        <v>4456</v>
      </c>
      <c r="D2032" t="s">
        <v>40</v>
      </c>
      <c r="E2032" t="s">
        <v>631</v>
      </c>
      <c r="F2032" t="s">
        <v>4457</v>
      </c>
      <c r="G2032" t="str">
        <f>"00514623"</f>
        <v>00514623</v>
      </c>
      <c r="H2032">
        <v>36</v>
      </c>
      <c r="I2032">
        <v>0</v>
      </c>
      <c r="L2032">
        <v>4</v>
      </c>
      <c r="M2032">
        <v>0</v>
      </c>
      <c r="N2032">
        <v>4</v>
      </c>
      <c r="O2032">
        <v>0</v>
      </c>
      <c r="P2032">
        <v>40</v>
      </c>
      <c r="Q2032">
        <v>0</v>
      </c>
      <c r="R2032">
        <v>0</v>
      </c>
      <c r="S2032">
        <v>0</v>
      </c>
      <c r="T2032">
        <v>0</v>
      </c>
      <c r="U2032" s="1">
        <v>0</v>
      </c>
      <c r="V2032">
        <v>40</v>
      </c>
    </row>
    <row r="2033" spans="1:22" ht="15">
      <c r="A2033" s="4">
        <v>2026</v>
      </c>
      <c r="B2033">
        <v>2972</v>
      </c>
      <c r="C2033" t="s">
        <v>4458</v>
      </c>
      <c r="D2033" t="s">
        <v>211</v>
      </c>
      <c r="E2033" t="s">
        <v>51</v>
      </c>
      <c r="F2033" t="s">
        <v>4459</v>
      </c>
      <c r="G2033" t="str">
        <f>"00424446"</f>
        <v>00424446</v>
      </c>
      <c r="H2033">
        <v>36</v>
      </c>
      <c r="I2033">
        <v>0</v>
      </c>
      <c r="M2033">
        <v>4</v>
      </c>
      <c r="N2033">
        <v>0</v>
      </c>
      <c r="O2033">
        <v>0</v>
      </c>
      <c r="P2033">
        <v>40</v>
      </c>
      <c r="Q2033">
        <v>0</v>
      </c>
      <c r="R2033">
        <v>0</v>
      </c>
      <c r="S2033">
        <v>0</v>
      </c>
      <c r="T2033">
        <v>0</v>
      </c>
      <c r="U2033" s="1">
        <v>0</v>
      </c>
      <c r="V2033">
        <v>40</v>
      </c>
    </row>
    <row r="2034" spans="1:22" ht="15">
      <c r="A2034" s="4">
        <v>2027</v>
      </c>
      <c r="B2034">
        <v>785</v>
      </c>
      <c r="C2034" t="s">
        <v>1588</v>
      </c>
      <c r="D2034" t="s">
        <v>211</v>
      </c>
      <c r="E2034" t="s">
        <v>447</v>
      </c>
      <c r="F2034" t="s">
        <v>4460</v>
      </c>
      <c r="G2034" t="str">
        <f>"00505333"</f>
        <v>00505333</v>
      </c>
      <c r="H2034">
        <v>36</v>
      </c>
      <c r="I2034">
        <v>0</v>
      </c>
      <c r="M2034">
        <v>4</v>
      </c>
      <c r="N2034">
        <v>0</v>
      </c>
      <c r="O2034">
        <v>0</v>
      </c>
      <c r="P2034">
        <v>40</v>
      </c>
      <c r="Q2034">
        <v>0</v>
      </c>
      <c r="R2034">
        <v>0</v>
      </c>
      <c r="S2034">
        <v>0</v>
      </c>
      <c r="T2034">
        <v>0</v>
      </c>
      <c r="U2034" s="1">
        <v>0</v>
      </c>
      <c r="V2034">
        <v>40</v>
      </c>
    </row>
    <row r="2035" spans="1:22" ht="15">
      <c r="A2035" s="4">
        <v>2028</v>
      </c>
      <c r="B2035">
        <v>1907</v>
      </c>
      <c r="C2035" t="s">
        <v>4461</v>
      </c>
      <c r="D2035" t="s">
        <v>89</v>
      </c>
      <c r="E2035" t="s">
        <v>73</v>
      </c>
      <c r="F2035" t="s">
        <v>4462</v>
      </c>
      <c r="G2035" t="str">
        <f>"00531607"</f>
        <v>00531607</v>
      </c>
      <c r="H2035">
        <v>36</v>
      </c>
      <c r="I2035">
        <v>0</v>
      </c>
      <c r="M2035">
        <v>4</v>
      </c>
      <c r="N2035">
        <v>0</v>
      </c>
      <c r="O2035">
        <v>0</v>
      </c>
      <c r="P2035">
        <v>40</v>
      </c>
      <c r="Q2035">
        <v>0</v>
      </c>
      <c r="R2035">
        <v>0</v>
      </c>
      <c r="S2035">
        <v>0</v>
      </c>
      <c r="T2035">
        <v>0</v>
      </c>
      <c r="U2035" s="1">
        <v>0</v>
      </c>
      <c r="V2035">
        <v>40</v>
      </c>
    </row>
    <row r="2036" spans="1:22" ht="15">
      <c r="A2036" s="4">
        <v>2029</v>
      </c>
      <c r="B2036">
        <v>438</v>
      </c>
      <c r="C2036" t="s">
        <v>4463</v>
      </c>
      <c r="D2036" t="s">
        <v>1397</v>
      </c>
      <c r="E2036" t="s">
        <v>11</v>
      </c>
      <c r="F2036" t="s">
        <v>4464</v>
      </c>
      <c r="G2036" t="str">
        <f>"00148175"</f>
        <v>00148175</v>
      </c>
      <c r="H2036">
        <v>36</v>
      </c>
      <c r="I2036">
        <v>0</v>
      </c>
      <c r="M2036">
        <v>4</v>
      </c>
      <c r="N2036">
        <v>0</v>
      </c>
      <c r="O2036">
        <v>0</v>
      </c>
      <c r="P2036">
        <v>40</v>
      </c>
      <c r="Q2036">
        <v>0</v>
      </c>
      <c r="R2036">
        <v>0</v>
      </c>
      <c r="S2036">
        <v>0</v>
      </c>
      <c r="T2036">
        <v>0</v>
      </c>
      <c r="U2036" s="1">
        <v>0</v>
      </c>
      <c r="V2036">
        <v>40</v>
      </c>
    </row>
    <row r="2037" spans="1:22" ht="15">
      <c r="A2037" s="4">
        <v>2030</v>
      </c>
      <c r="B2037">
        <v>1700</v>
      </c>
      <c r="C2037" t="s">
        <v>4465</v>
      </c>
      <c r="D2037" t="s">
        <v>29</v>
      </c>
      <c r="E2037" t="s">
        <v>90</v>
      </c>
      <c r="F2037" t="s">
        <v>4466</v>
      </c>
      <c r="G2037" t="str">
        <f>"00039210"</f>
        <v>00039210</v>
      </c>
      <c r="H2037">
        <v>36</v>
      </c>
      <c r="I2037">
        <v>0</v>
      </c>
      <c r="M2037">
        <v>4</v>
      </c>
      <c r="N2037">
        <v>0</v>
      </c>
      <c r="O2037">
        <v>0</v>
      </c>
      <c r="P2037">
        <v>40</v>
      </c>
      <c r="Q2037">
        <v>0</v>
      </c>
      <c r="R2037">
        <v>0</v>
      </c>
      <c r="S2037">
        <v>0</v>
      </c>
      <c r="T2037">
        <v>0</v>
      </c>
      <c r="U2037" s="1">
        <v>0</v>
      </c>
      <c r="V2037">
        <v>40</v>
      </c>
    </row>
    <row r="2038" spans="1:22" ht="15">
      <c r="A2038" s="4">
        <v>2031</v>
      </c>
      <c r="B2038">
        <v>2681</v>
      </c>
      <c r="C2038" t="s">
        <v>2025</v>
      </c>
      <c r="D2038" t="s">
        <v>1346</v>
      </c>
      <c r="E2038" t="s">
        <v>83</v>
      </c>
      <c r="F2038" t="s">
        <v>4467</v>
      </c>
      <c r="G2038" t="str">
        <f>"201411003170"</f>
        <v>201411003170</v>
      </c>
      <c r="H2038">
        <v>36</v>
      </c>
      <c r="I2038">
        <v>0</v>
      </c>
      <c r="M2038">
        <v>4</v>
      </c>
      <c r="N2038">
        <v>0</v>
      </c>
      <c r="O2038">
        <v>0</v>
      </c>
      <c r="P2038">
        <v>40</v>
      </c>
      <c r="Q2038">
        <v>0</v>
      </c>
      <c r="R2038">
        <v>0</v>
      </c>
      <c r="S2038">
        <v>0</v>
      </c>
      <c r="T2038">
        <v>0</v>
      </c>
      <c r="U2038" s="1">
        <v>0</v>
      </c>
      <c r="V2038">
        <v>40</v>
      </c>
    </row>
    <row r="2039" spans="1:22" ht="15">
      <c r="A2039" s="4">
        <v>2032</v>
      </c>
      <c r="B2039">
        <v>2743</v>
      </c>
      <c r="C2039" t="s">
        <v>4468</v>
      </c>
      <c r="D2039" t="s">
        <v>287</v>
      </c>
      <c r="E2039" t="s">
        <v>90</v>
      </c>
      <c r="F2039" t="s">
        <v>4469</v>
      </c>
      <c r="G2039" t="str">
        <f>"00221739"</f>
        <v>00221739</v>
      </c>
      <c r="H2039">
        <v>36</v>
      </c>
      <c r="I2039">
        <v>0</v>
      </c>
      <c r="M2039">
        <v>4</v>
      </c>
      <c r="N2039">
        <v>0</v>
      </c>
      <c r="O2039">
        <v>0</v>
      </c>
      <c r="P2039">
        <v>40</v>
      </c>
      <c r="Q2039">
        <v>0</v>
      </c>
      <c r="R2039">
        <v>0</v>
      </c>
      <c r="S2039">
        <v>0</v>
      </c>
      <c r="T2039">
        <v>0</v>
      </c>
      <c r="U2039" s="1">
        <v>0</v>
      </c>
      <c r="V2039">
        <v>40</v>
      </c>
    </row>
    <row r="2040" spans="1:22" ht="15">
      <c r="A2040" s="4">
        <v>2033</v>
      </c>
      <c r="B2040">
        <v>1626</v>
      </c>
      <c r="C2040" t="s">
        <v>771</v>
      </c>
      <c r="D2040" t="s">
        <v>643</v>
      </c>
      <c r="E2040" t="s">
        <v>15</v>
      </c>
      <c r="F2040" t="s">
        <v>4470</v>
      </c>
      <c r="G2040" t="str">
        <f>"00462114"</f>
        <v>00462114</v>
      </c>
      <c r="H2040">
        <v>26.92</v>
      </c>
      <c r="I2040">
        <v>0</v>
      </c>
      <c r="M2040">
        <v>4</v>
      </c>
      <c r="N2040">
        <v>0</v>
      </c>
      <c r="O2040">
        <v>0</v>
      </c>
      <c r="P2040">
        <v>30.92</v>
      </c>
      <c r="Q2040">
        <v>0</v>
      </c>
      <c r="R2040">
        <v>0</v>
      </c>
      <c r="S2040">
        <v>9</v>
      </c>
      <c r="T2040">
        <v>0</v>
      </c>
      <c r="U2040" s="1">
        <v>0</v>
      </c>
      <c r="V2040">
        <v>39.92</v>
      </c>
    </row>
    <row r="2041" spans="1:22" ht="15">
      <c r="A2041" s="4">
        <v>2034</v>
      </c>
      <c r="B2041">
        <v>2895</v>
      </c>
      <c r="C2041" t="s">
        <v>370</v>
      </c>
      <c r="D2041" t="s">
        <v>189</v>
      </c>
      <c r="E2041" t="s">
        <v>19</v>
      </c>
      <c r="F2041" t="s">
        <v>4471</v>
      </c>
      <c r="G2041" t="str">
        <f>"00531695"</f>
        <v>00531695</v>
      </c>
      <c r="H2041">
        <v>36.88</v>
      </c>
      <c r="I2041">
        <v>0</v>
      </c>
      <c r="M2041">
        <v>0</v>
      </c>
      <c r="N2041">
        <v>0</v>
      </c>
      <c r="O2041">
        <v>0</v>
      </c>
      <c r="P2041">
        <v>36.88</v>
      </c>
      <c r="Q2041">
        <v>0</v>
      </c>
      <c r="R2041">
        <v>0</v>
      </c>
      <c r="S2041">
        <v>3</v>
      </c>
      <c r="T2041">
        <v>0</v>
      </c>
      <c r="U2041" s="1">
        <v>0</v>
      </c>
      <c r="V2041">
        <v>39.88</v>
      </c>
    </row>
    <row r="2042" spans="1:22" ht="15">
      <c r="A2042" s="4">
        <v>2035</v>
      </c>
      <c r="B2042">
        <v>3261</v>
      </c>
      <c r="C2042" t="s">
        <v>4472</v>
      </c>
      <c r="D2042" t="s">
        <v>14</v>
      </c>
      <c r="E2042" t="s">
        <v>23</v>
      </c>
      <c r="F2042" t="s">
        <v>4473</v>
      </c>
      <c r="G2042" t="str">
        <f>"00507842"</f>
        <v>00507842</v>
      </c>
      <c r="H2042">
        <v>28.8</v>
      </c>
      <c r="I2042">
        <v>0</v>
      </c>
      <c r="L2042">
        <v>4</v>
      </c>
      <c r="M2042">
        <v>4</v>
      </c>
      <c r="N2042">
        <v>4</v>
      </c>
      <c r="O2042">
        <v>0</v>
      </c>
      <c r="P2042">
        <v>36.8</v>
      </c>
      <c r="Q2042">
        <v>0</v>
      </c>
      <c r="R2042">
        <v>0</v>
      </c>
      <c r="S2042">
        <v>3</v>
      </c>
      <c r="T2042">
        <v>0</v>
      </c>
      <c r="U2042" s="1">
        <v>0</v>
      </c>
      <c r="V2042">
        <v>39.8</v>
      </c>
    </row>
    <row r="2043" spans="1:22" ht="15">
      <c r="A2043" s="4">
        <v>2036</v>
      </c>
      <c r="B2043">
        <v>3158</v>
      </c>
      <c r="C2043" t="s">
        <v>4474</v>
      </c>
      <c r="D2043" t="s">
        <v>273</v>
      </c>
      <c r="E2043" t="s">
        <v>41</v>
      </c>
      <c r="F2043" t="s">
        <v>4475</v>
      </c>
      <c r="G2043" t="str">
        <f>"00450214"</f>
        <v>00450214</v>
      </c>
      <c r="H2043">
        <v>25.8</v>
      </c>
      <c r="I2043">
        <v>10</v>
      </c>
      <c r="M2043">
        <v>4</v>
      </c>
      <c r="N2043">
        <v>0</v>
      </c>
      <c r="O2043">
        <v>0</v>
      </c>
      <c r="P2043">
        <v>39.8</v>
      </c>
      <c r="Q2043">
        <v>0</v>
      </c>
      <c r="R2043">
        <v>0</v>
      </c>
      <c r="S2043">
        <v>0</v>
      </c>
      <c r="T2043">
        <v>0</v>
      </c>
      <c r="U2043" s="1">
        <v>0</v>
      </c>
      <c r="V2043">
        <v>39.8</v>
      </c>
    </row>
    <row r="2044" spans="1:22" ht="15">
      <c r="A2044" s="4">
        <v>2037</v>
      </c>
      <c r="B2044">
        <v>198</v>
      </c>
      <c r="C2044" t="s">
        <v>4476</v>
      </c>
      <c r="D2044" t="s">
        <v>4477</v>
      </c>
      <c r="E2044" t="s">
        <v>190</v>
      </c>
      <c r="F2044" t="s">
        <v>4478</v>
      </c>
      <c r="G2044" t="str">
        <f>"00154529"</f>
        <v>00154529</v>
      </c>
      <c r="H2044">
        <v>28.8</v>
      </c>
      <c r="I2044">
        <v>0</v>
      </c>
      <c r="M2044">
        <v>4</v>
      </c>
      <c r="N2044">
        <v>0</v>
      </c>
      <c r="O2044">
        <v>0</v>
      </c>
      <c r="P2044">
        <v>32.8</v>
      </c>
      <c r="Q2044">
        <v>7</v>
      </c>
      <c r="R2044">
        <v>7</v>
      </c>
      <c r="S2044">
        <v>0</v>
      </c>
      <c r="T2044">
        <v>0</v>
      </c>
      <c r="U2044" s="1">
        <v>0</v>
      </c>
      <c r="V2044">
        <v>39.8</v>
      </c>
    </row>
    <row r="2045" spans="1:22" ht="15">
      <c r="A2045" s="4">
        <v>2038</v>
      </c>
      <c r="B2045">
        <v>2253</v>
      </c>
      <c r="C2045" t="s">
        <v>4012</v>
      </c>
      <c r="D2045" t="s">
        <v>4479</v>
      </c>
      <c r="E2045" t="s">
        <v>4246</v>
      </c>
      <c r="F2045" t="s">
        <v>4480</v>
      </c>
      <c r="G2045" t="str">
        <f>"00515149"</f>
        <v>00515149</v>
      </c>
      <c r="H2045">
        <v>28.8</v>
      </c>
      <c r="I2045">
        <v>0</v>
      </c>
      <c r="L2045">
        <v>4</v>
      </c>
      <c r="M2045">
        <v>4</v>
      </c>
      <c r="N2045">
        <v>4</v>
      </c>
      <c r="O2045">
        <v>0</v>
      </c>
      <c r="P2045">
        <v>36.8</v>
      </c>
      <c r="Q2045">
        <v>0</v>
      </c>
      <c r="R2045">
        <v>0</v>
      </c>
      <c r="S2045">
        <v>3</v>
      </c>
      <c r="T2045">
        <v>0</v>
      </c>
      <c r="U2045" s="1">
        <v>0</v>
      </c>
      <c r="V2045">
        <v>39.8</v>
      </c>
    </row>
    <row r="2046" spans="1:22" ht="15">
      <c r="A2046" s="4">
        <v>2039</v>
      </c>
      <c r="B2046">
        <v>919</v>
      </c>
      <c r="C2046" t="s">
        <v>4481</v>
      </c>
      <c r="D2046" t="s">
        <v>4482</v>
      </c>
      <c r="E2046" t="s">
        <v>403</v>
      </c>
      <c r="F2046" t="s">
        <v>4483</v>
      </c>
      <c r="G2046" t="str">
        <f>"00506915"</f>
        <v>00506915</v>
      </c>
      <c r="H2046">
        <v>25.8</v>
      </c>
      <c r="I2046">
        <v>10</v>
      </c>
      <c r="M2046">
        <v>4</v>
      </c>
      <c r="N2046">
        <v>0</v>
      </c>
      <c r="O2046">
        <v>0</v>
      </c>
      <c r="P2046">
        <v>39.8</v>
      </c>
      <c r="Q2046">
        <v>0</v>
      </c>
      <c r="R2046">
        <v>0</v>
      </c>
      <c r="S2046">
        <v>0</v>
      </c>
      <c r="T2046">
        <v>0</v>
      </c>
      <c r="U2046" s="1">
        <v>0</v>
      </c>
      <c r="V2046">
        <v>39.8</v>
      </c>
    </row>
    <row r="2047" spans="1:22" ht="15">
      <c r="A2047" s="4">
        <v>2040</v>
      </c>
      <c r="B2047">
        <v>1971</v>
      </c>
      <c r="C2047" t="s">
        <v>4484</v>
      </c>
      <c r="D2047" t="s">
        <v>4485</v>
      </c>
      <c r="E2047" t="s">
        <v>4486</v>
      </c>
      <c r="F2047" t="s">
        <v>4487</v>
      </c>
      <c r="G2047" t="str">
        <f>"00511309"</f>
        <v>00511309</v>
      </c>
      <c r="H2047">
        <v>22.76</v>
      </c>
      <c r="I2047">
        <v>0</v>
      </c>
      <c r="M2047">
        <v>0</v>
      </c>
      <c r="N2047">
        <v>0</v>
      </c>
      <c r="O2047">
        <v>2</v>
      </c>
      <c r="P2047">
        <v>24.76</v>
      </c>
      <c r="Q2047">
        <v>6</v>
      </c>
      <c r="R2047">
        <v>6</v>
      </c>
      <c r="S2047">
        <v>9</v>
      </c>
      <c r="T2047">
        <v>0</v>
      </c>
      <c r="U2047" s="1">
        <v>0</v>
      </c>
      <c r="V2047">
        <v>39.76</v>
      </c>
    </row>
    <row r="2048" spans="1:22" ht="15">
      <c r="A2048" s="4">
        <v>2041</v>
      </c>
      <c r="B2048">
        <v>1671</v>
      </c>
      <c r="C2048" t="s">
        <v>4488</v>
      </c>
      <c r="D2048" t="s">
        <v>222</v>
      </c>
      <c r="E2048" t="s">
        <v>23</v>
      </c>
      <c r="F2048" t="s">
        <v>4489</v>
      </c>
      <c r="G2048" t="str">
        <f>"00531791"</f>
        <v>00531791</v>
      </c>
      <c r="H2048">
        <v>19.68</v>
      </c>
      <c r="I2048">
        <v>10</v>
      </c>
      <c r="M2048">
        <v>4</v>
      </c>
      <c r="N2048">
        <v>0</v>
      </c>
      <c r="O2048">
        <v>0</v>
      </c>
      <c r="P2048">
        <v>33.68</v>
      </c>
      <c r="Q2048">
        <v>0</v>
      </c>
      <c r="R2048">
        <v>0</v>
      </c>
      <c r="S2048">
        <v>6</v>
      </c>
      <c r="T2048">
        <v>0</v>
      </c>
      <c r="U2048" s="1">
        <v>0</v>
      </c>
      <c r="V2048">
        <v>39.68</v>
      </c>
    </row>
    <row r="2049" spans="1:22" ht="15">
      <c r="A2049" s="4">
        <v>2042</v>
      </c>
      <c r="B2049">
        <v>3379</v>
      </c>
      <c r="C2049" t="s">
        <v>4490</v>
      </c>
      <c r="D2049" t="s">
        <v>156</v>
      </c>
      <c r="E2049" t="s">
        <v>90</v>
      </c>
      <c r="F2049" t="s">
        <v>4491</v>
      </c>
      <c r="G2049" t="str">
        <f>"00532899"</f>
        <v>00532899</v>
      </c>
      <c r="H2049">
        <v>35.64</v>
      </c>
      <c r="I2049">
        <v>0</v>
      </c>
      <c r="M2049">
        <v>4</v>
      </c>
      <c r="N2049">
        <v>0</v>
      </c>
      <c r="O2049">
        <v>0</v>
      </c>
      <c r="P2049">
        <v>39.64</v>
      </c>
      <c r="Q2049">
        <v>0</v>
      </c>
      <c r="R2049">
        <v>0</v>
      </c>
      <c r="S2049">
        <v>0</v>
      </c>
      <c r="T2049">
        <v>0</v>
      </c>
      <c r="U2049" s="1">
        <v>0</v>
      </c>
      <c r="V2049">
        <v>39.64</v>
      </c>
    </row>
    <row r="2050" spans="1:22" ht="15">
      <c r="A2050" s="4">
        <v>2043</v>
      </c>
      <c r="B2050">
        <v>2439</v>
      </c>
      <c r="C2050" t="s">
        <v>4492</v>
      </c>
      <c r="D2050" t="s">
        <v>2217</v>
      </c>
      <c r="E2050" t="s">
        <v>90</v>
      </c>
      <c r="F2050" t="s">
        <v>4493</v>
      </c>
      <c r="G2050" t="str">
        <f>"00533827"</f>
        <v>00533827</v>
      </c>
      <c r="H2050">
        <v>21.6</v>
      </c>
      <c r="I2050">
        <v>0</v>
      </c>
      <c r="J2050">
        <v>8</v>
      </c>
      <c r="M2050">
        <v>4</v>
      </c>
      <c r="N2050">
        <v>8</v>
      </c>
      <c r="O2050">
        <v>0</v>
      </c>
      <c r="P2050">
        <v>33.6</v>
      </c>
      <c r="Q2050">
        <v>0</v>
      </c>
      <c r="R2050">
        <v>0</v>
      </c>
      <c r="S2050">
        <v>6</v>
      </c>
      <c r="T2050">
        <v>0</v>
      </c>
      <c r="U2050" s="1">
        <v>0</v>
      </c>
      <c r="V2050">
        <v>39.6</v>
      </c>
    </row>
    <row r="2051" spans="1:22" ht="15">
      <c r="A2051" s="4">
        <v>2044</v>
      </c>
      <c r="B2051">
        <v>2191</v>
      </c>
      <c r="C2051" t="s">
        <v>4494</v>
      </c>
      <c r="D2051" t="s">
        <v>333</v>
      </c>
      <c r="E2051" t="s">
        <v>447</v>
      </c>
      <c r="F2051" t="s">
        <v>4495</v>
      </c>
      <c r="G2051" t="str">
        <f>"00441765"</f>
        <v>00441765</v>
      </c>
      <c r="H2051">
        <v>21.6</v>
      </c>
      <c r="I2051">
        <v>10</v>
      </c>
      <c r="L2051">
        <v>4</v>
      </c>
      <c r="M2051">
        <v>4</v>
      </c>
      <c r="N2051">
        <v>4</v>
      </c>
      <c r="O2051">
        <v>0</v>
      </c>
      <c r="P2051">
        <v>39.6</v>
      </c>
      <c r="Q2051">
        <v>0</v>
      </c>
      <c r="R2051">
        <v>0</v>
      </c>
      <c r="S2051">
        <v>0</v>
      </c>
      <c r="T2051">
        <v>0</v>
      </c>
      <c r="U2051" s="1">
        <v>0</v>
      </c>
      <c r="V2051">
        <v>39.6</v>
      </c>
    </row>
    <row r="2052" spans="1:22" ht="15">
      <c r="A2052" s="4">
        <v>2045</v>
      </c>
      <c r="B2052">
        <v>1160</v>
      </c>
      <c r="C2052" t="s">
        <v>669</v>
      </c>
      <c r="D2052" t="s">
        <v>137</v>
      </c>
      <c r="E2052" t="s">
        <v>30</v>
      </c>
      <c r="F2052" t="s">
        <v>4496</v>
      </c>
      <c r="G2052" t="str">
        <f>"201512003304"</f>
        <v>201512003304</v>
      </c>
      <c r="H2052">
        <v>39.6</v>
      </c>
      <c r="I2052">
        <v>0</v>
      </c>
      <c r="M2052">
        <v>0</v>
      </c>
      <c r="N2052">
        <v>0</v>
      </c>
      <c r="O2052">
        <v>0</v>
      </c>
      <c r="P2052">
        <v>39.6</v>
      </c>
      <c r="Q2052">
        <v>0</v>
      </c>
      <c r="R2052">
        <v>0</v>
      </c>
      <c r="S2052">
        <v>0</v>
      </c>
      <c r="T2052">
        <v>0</v>
      </c>
      <c r="U2052" s="1">
        <v>0</v>
      </c>
      <c r="V2052">
        <v>39.6</v>
      </c>
    </row>
    <row r="2053" spans="1:22" ht="15">
      <c r="A2053" s="4">
        <v>2046</v>
      </c>
      <c r="B2053">
        <v>593</v>
      </c>
      <c r="C2053" t="s">
        <v>4497</v>
      </c>
      <c r="D2053" t="s">
        <v>273</v>
      </c>
      <c r="E2053" t="s">
        <v>2765</v>
      </c>
      <c r="F2053" t="s">
        <v>4498</v>
      </c>
      <c r="G2053" t="str">
        <f>"00141348"</f>
        <v>00141348</v>
      </c>
      <c r="H2053">
        <v>21.6</v>
      </c>
      <c r="I2053">
        <v>10</v>
      </c>
      <c r="L2053">
        <v>4</v>
      </c>
      <c r="M2053">
        <v>4</v>
      </c>
      <c r="N2053">
        <v>4</v>
      </c>
      <c r="O2053">
        <v>0</v>
      </c>
      <c r="P2053">
        <v>39.6</v>
      </c>
      <c r="Q2053">
        <v>0</v>
      </c>
      <c r="R2053">
        <v>0</v>
      </c>
      <c r="S2053">
        <v>0</v>
      </c>
      <c r="T2053">
        <v>0</v>
      </c>
      <c r="U2053" s="1">
        <v>0</v>
      </c>
      <c r="V2053">
        <v>39.6</v>
      </c>
    </row>
    <row r="2054" spans="1:22" ht="15">
      <c r="A2054" s="4">
        <v>2047</v>
      </c>
      <c r="B2054">
        <v>1596</v>
      </c>
      <c r="C2054" t="s">
        <v>4499</v>
      </c>
      <c r="D2054" t="s">
        <v>4500</v>
      </c>
      <c r="E2054" t="s">
        <v>30</v>
      </c>
      <c r="F2054" t="s">
        <v>4501</v>
      </c>
      <c r="G2054" t="str">
        <f>"00426166"</f>
        <v>00426166</v>
      </c>
      <c r="H2054">
        <v>31.6</v>
      </c>
      <c r="I2054">
        <v>0</v>
      </c>
      <c r="L2054">
        <v>4</v>
      </c>
      <c r="M2054">
        <v>4</v>
      </c>
      <c r="N2054">
        <v>4</v>
      </c>
      <c r="O2054">
        <v>0</v>
      </c>
      <c r="P2054">
        <v>39.6</v>
      </c>
      <c r="Q2054">
        <v>0</v>
      </c>
      <c r="R2054">
        <v>0</v>
      </c>
      <c r="S2054">
        <v>0</v>
      </c>
      <c r="T2054">
        <v>0</v>
      </c>
      <c r="U2054" s="1">
        <v>0</v>
      </c>
      <c r="V2054">
        <v>39.6</v>
      </c>
    </row>
    <row r="2055" spans="1:22" ht="15">
      <c r="A2055" s="4">
        <v>2048</v>
      </c>
      <c r="B2055">
        <v>89</v>
      </c>
      <c r="C2055" t="s">
        <v>4502</v>
      </c>
      <c r="D2055" t="s">
        <v>273</v>
      </c>
      <c r="E2055" t="s">
        <v>19</v>
      </c>
      <c r="F2055" t="s">
        <v>4503</v>
      </c>
      <c r="G2055" t="str">
        <f>"00146830"</f>
        <v>00146830</v>
      </c>
      <c r="H2055">
        <v>21.6</v>
      </c>
      <c r="I2055">
        <v>10</v>
      </c>
      <c r="L2055">
        <v>4</v>
      </c>
      <c r="M2055">
        <v>4</v>
      </c>
      <c r="N2055">
        <v>4</v>
      </c>
      <c r="O2055">
        <v>0</v>
      </c>
      <c r="P2055">
        <v>39.6</v>
      </c>
      <c r="Q2055">
        <v>0</v>
      </c>
      <c r="R2055">
        <v>0</v>
      </c>
      <c r="S2055">
        <v>0</v>
      </c>
      <c r="T2055">
        <v>0</v>
      </c>
      <c r="U2055" s="1">
        <v>0</v>
      </c>
      <c r="V2055">
        <v>39.6</v>
      </c>
    </row>
    <row r="2056" spans="1:22" ht="15">
      <c r="A2056" s="4">
        <v>2049</v>
      </c>
      <c r="B2056">
        <v>708</v>
      </c>
      <c r="C2056" t="s">
        <v>4504</v>
      </c>
      <c r="D2056" t="s">
        <v>743</v>
      </c>
      <c r="E2056" t="s">
        <v>83</v>
      </c>
      <c r="F2056" t="s">
        <v>4505</v>
      </c>
      <c r="G2056" t="str">
        <f>"00511039"</f>
        <v>00511039</v>
      </c>
      <c r="H2056">
        <v>35.6</v>
      </c>
      <c r="I2056">
        <v>0</v>
      </c>
      <c r="M2056">
        <v>4</v>
      </c>
      <c r="N2056">
        <v>0</v>
      </c>
      <c r="O2056">
        <v>0</v>
      </c>
      <c r="P2056">
        <v>39.6</v>
      </c>
      <c r="Q2056">
        <v>0</v>
      </c>
      <c r="R2056">
        <v>0</v>
      </c>
      <c r="S2056">
        <v>0</v>
      </c>
      <c r="T2056">
        <v>0</v>
      </c>
      <c r="U2056" s="1">
        <v>0</v>
      </c>
      <c r="V2056">
        <v>39.6</v>
      </c>
    </row>
    <row r="2057" spans="1:22" ht="15">
      <c r="A2057" s="4">
        <v>2050</v>
      </c>
      <c r="B2057">
        <v>3314</v>
      </c>
      <c r="C2057" t="s">
        <v>4506</v>
      </c>
      <c r="D2057" t="s">
        <v>273</v>
      </c>
      <c r="E2057" t="s">
        <v>11</v>
      </c>
      <c r="F2057" t="s">
        <v>4507</v>
      </c>
      <c r="G2057" t="str">
        <f>"00533736"</f>
        <v>00533736</v>
      </c>
      <c r="H2057">
        <v>26.56</v>
      </c>
      <c r="I2057">
        <v>0</v>
      </c>
      <c r="M2057">
        <v>4</v>
      </c>
      <c r="N2057">
        <v>0</v>
      </c>
      <c r="O2057">
        <v>0</v>
      </c>
      <c r="P2057">
        <v>30.56</v>
      </c>
      <c r="Q2057">
        <v>0</v>
      </c>
      <c r="R2057">
        <v>0</v>
      </c>
      <c r="S2057">
        <v>9</v>
      </c>
      <c r="T2057">
        <v>0</v>
      </c>
      <c r="U2057" s="1">
        <v>0</v>
      </c>
      <c r="V2057">
        <v>39.56</v>
      </c>
    </row>
    <row r="2058" spans="1:22" ht="15">
      <c r="A2058" s="4">
        <v>2051</v>
      </c>
      <c r="B2058">
        <v>2461</v>
      </c>
      <c r="C2058" t="s">
        <v>4508</v>
      </c>
      <c r="D2058" t="s">
        <v>82</v>
      </c>
      <c r="E2058" t="s">
        <v>73</v>
      </c>
      <c r="F2058" t="s">
        <v>4509</v>
      </c>
      <c r="G2058" t="str">
        <f>"201502003416"</f>
        <v>201502003416</v>
      </c>
      <c r="H2058">
        <v>25.52</v>
      </c>
      <c r="I2058">
        <v>10</v>
      </c>
      <c r="M2058">
        <v>4</v>
      </c>
      <c r="N2058">
        <v>0</v>
      </c>
      <c r="O2058">
        <v>0</v>
      </c>
      <c r="P2058">
        <v>39.52</v>
      </c>
      <c r="Q2058">
        <v>0</v>
      </c>
      <c r="R2058">
        <v>0</v>
      </c>
      <c r="S2058">
        <v>0</v>
      </c>
      <c r="T2058">
        <v>0</v>
      </c>
      <c r="U2058" s="1">
        <v>0</v>
      </c>
      <c r="V2058">
        <v>39.52</v>
      </c>
    </row>
    <row r="2059" spans="1:22" ht="15">
      <c r="A2059" s="4">
        <v>2052</v>
      </c>
      <c r="B2059">
        <v>881</v>
      </c>
      <c r="C2059" t="s">
        <v>4510</v>
      </c>
      <c r="D2059" t="s">
        <v>26</v>
      </c>
      <c r="E2059" t="s">
        <v>157</v>
      </c>
      <c r="F2059" t="s">
        <v>4511</v>
      </c>
      <c r="G2059" t="str">
        <f>"00028072"</f>
        <v>00028072</v>
      </c>
      <c r="H2059">
        <v>32.4</v>
      </c>
      <c r="I2059">
        <v>0</v>
      </c>
      <c r="M2059">
        <v>4</v>
      </c>
      <c r="N2059">
        <v>0</v>
      </c>
      <c r="O2059">
        <v>0</v>
      </c>
      <c r="P2059">
        <v>36.4</v>
      </c>
      <c r="Q2059">
        <v>0</v>
      </c>
      <c r="R2059">
        <v>0</v>
      </c>
      <c r="S2059">
        <v>3</v>
      </c>
      <c r="T2059">
        <v>0</v>
      </c>
      <c r="U2059" s="1">
        <v>0</v>
      </c>
      <c r="V2059">
        <v>39.4</v>
      </c>
    </row>
    <row r="2060" spans="1:22" ht="15">
      <c r="A2060" s="4">
        <v>2053</v>
      </c>
      <c r="B2060">
        <v>2547</v>
      </c>
      <c r="C2060" t="s">
        <v>4512</v>
      </c>
      <c r="D2060" t="s">
        <v>29</v>
      </c>
      <c r="E2060" t="s">
        <v>19</v>
      </c>
      <c r="F2060" t="s">
        <v>4513</v>
      </c>
      <c r="G2060" t="str">
        <f>"201510000678"</f>
        <v>201510000678</v>
      </c>
      <c r="H2060">
        <v>20.36</v>
      </c>
      <c r="I2060">
        <v>0</v>
      </c>
      <c r="M2060">
        <v>4</v>
      </c>
      <c r="N2060">
        <v>0</v>
      </c>
      <c r="O2060">
        <v>0</v>
      </c>
      <c r="P2060">
        <v>24.36</v>
      </c>
      <c r="Q2060">
        <v>15</v>
      </c>
      <c r="R2060">
        <v>15</v>
      </c>
      <c r="S2060">
        <v>0</v>
      </c>
      <c r="T2060">
        <v>0</v>
      </c>
      <c r="U2060" s="1">
        <v>0</v>
      </c>
      <c r="V2060">
        <v>39.36</v>
      </c>
    </row>
    <row r="2061" spans="1:22" ht="15">
      <c r="A2061" s="4">
        <v>2054</v>
      </c>
      <c r="B2061">
        <v>2096</v>
      </c>
      <c r="C2061" t="s">
        <v>915</v>
      </c>
      <c r="D2061" t="s">
        <v>2114</v>
      </c>
      <c r="E2061" t="s">
        <v>90</v>
      </c>
      <c r="F2061" t="s">
        <v>4514</v>
      </c>
      <c r="G2061" t="str">
        <f>"00508709"</f>
        <v>00508709</v>
      </c>
      <c r="H2061">
        <v>29.32</v>
      </c>
      <c r="I2061">
        <v>0</v>
      </c>
      <c r="M2061">
        <v>4</v>
      </c>
      <c r="N2061">
        <v>0</v>
      </c>
      <c r="O2061">
        <v>0</v>
      </c>
      <c r="P2061">
        <v>33.32</v>
      </c>
      <c r="Q2061">
        <v>6</v>
      </c>
      <c r="R2061">
        <v>6</v>
      </c>
      <c r="S2061">
        <v>0</v>
      </c>
      <c r="T2061">
        <v>0</v>
      </c>
      <c r="U2061" s="1">
        <v>0</v>
      </c>
      <c r="V2061">
        <v>39.32</v>
      </c>
    </row>
    <row r="2062" spans="1:22" ht="15">
      <c r="A2062" s="4">
        <v>2055</v>
      </c>
      <c r="B2062">
        <v>1954</v>
      </c>
      <c r="C2062" t="s">
        <v>4515</v>
      </c>
      <c r="D2062" t="s">
        <v>82</v>
      </c>
      <c r="E2062" t="s">
        <v>225</v>
      </c>
      <c r="F2062" t="s">
        <v>4516</v>
      </c>
      <c r="G2062" t="str">
        <f>"00531452"</f>
        <v>00531452</v>
      </c>
      <c r="H2062">
        <v>23.28</v>
      </c>
      <c r="I2062">
        <v>0</v>
      </c>
      <c r="M2062">
        <v>4</v>
      </c>
      <c r="N2062">
        <v>0</v>
      </c>
      <c r="O2062">
        <v>0</v>
      </c>
      <c r="P2062">
        <v>27.28</v>
      </c>
      <c r="Q2062">
        <v>12</v>
      </c>
      <c r="R2062">
        <v>12</v>
      </c>
      <c r="S2062">
        <v>0</v>
      </c>
      <c r="T2062">
        <v>0</v>
      </c>
      <c r="U2062" s="1">
        <v>0</v>
      </c>
      <c r="V2062">
        <v>39.28</v>
      </c>
    </row>
    <row r="2063" spans="1:22" ht="15">
      <c r="A2063" s="4">
        <v>2056</v>
      </c>
      <c r="B2063">
        <v>679</v>
      </c>
      <c r="C2063" t="s">
        <v>4517</v>
      </c>
      <c r="D2063" t="s">
        <v>89</v>
      </c>
      <c r="E2063" t="s">
        <v>157</v>
      </c>
      <c r="F2063" t="s">
        <v>4518</v>
      </c>
      <c r="G2063" t="str">
        <f>"00531693"</f>
        <v>00531693</v>
      </c>
      <c r="H2063">
        <v>30.24</v>
      </c>
      <c r="I2063">
        <v>0</v>
      </c>
      <c r="M2063">
        <v>0</v>
      </c>
      <c r="N2063">
        <v>0</v>
      </c>
      <c r="O2063">
        <v>0</v>
      </c>
      <c r="P2063">
        <v>30.24</v>
      </c>
      <c r="Q2063">
        <v>0</v>
      </c>
      <c r="R2063">
        <v>0</v>
      </c>
      <c r="S2063">
        <v>9</v>
      </c>
      <c r="T2063">
        <v>0</v>
      </c>
      <c r="U2063" s="1">
        <v>0</v>
      </c>
      <c r="V2063">
        <v>39.24</v>
      </c>
    </row>
    <row r="2064" spans="1:22" ht="15">
      <c r="A2064" s="4">
        <v>2057</v>
      </c>
      <c r="B2064">
        <v>534</v>
      </c>
      <c r="C2064" t="s">
        <v>4519</v>
      </c>
      <c r="D2064" t="s">
        <v>26</v>
      </c>
      <c r="E2064" t="s">
        <v>90</v>
      </c>
      <c r="F2064" t="s">
        <v>4520</v>
      </c>
      <c r="G2064" t="str">
        <f>"00307117"</f>
        <v>00307117</v>
      </c>
      <c r="H2064">
        <v>7.2</v>
      </c>
      <c r="I2064">
        <v>10</v>
      </c>
      <c r="M2064">
        <v>4</v>
      </c>
      <c r="N2064">
        <v>0</v>
      </c>
      <c r="O2064">
        <v>0</v>
      </c>
      <c r="P2064">
        <v>21.2</v>
      </c>
      <c r="Q2064">
        <v>18</v>
      </c>
      <c r="R2064">
        <v>18</v>
      </c>
      <c r="S2064">
        <v>0</v>
      </c>
      <c r="T2064">
        <v>0</v>
      </c>
      <c r="U2064" s="1">
        <v>0</v>
      </c>
      <c r="V2064">
        <v>39.2</v>
      </c>
    </row>
    <row r="2065" spans="1:22" ht="15">
      <c r="A2065" s="4">
        <v>2058</v>
      </c>
      <c r="B2065">
        <v>859</v>
      </c>
      <c r="C2065" t="s">
        <v>4521</v>
      </c>
      <c r="D2065" t="s">
        <v>4522</v>
      </c>
      <c r="E2065" t="s">
        <v>19</v>
      </c>
      <c r="F2065" t="s">
        <v>4523</v>
      </c>
      <c r="G2065" t="str">
        <f>"00530880"</f>
        <v>00530880</v>
      </c>
      <c r="H2065">
        <v>27.2</v>
      </c>
      <c r="I2065">
        <v>0</v>
      </c>
      <c r="J2065">
        <v>8</v>
      </c>
      <c r="M2065">
        <v>4</v>
      </c>
      <c r="N2065">
        <v>8</v>
      </c>
      <c r="O2065">
        <v>0</v>
      </c>
      <c r="P2065">
        <v>39.2</v>
      </c>
      <c r="Q2065">
        <v>0</v>
      </c>
      <c r="R2065">
        <v>0</v>
      </c>
      <c r="S2065">
        <v>0</v>
      </c>
      <c r="T2065">
        <v>0</v>
      </c>
      <c r="U2065" s="1">
        <v>0</v>
      </c>
      <c r="V2065">
        <v>39.2</v>
      </c>
    </row>
    <row r="2066" spans="1:22" ht="15">
      <c r="A2066" s="4">
        <v>2059</v>
      </c>
      <c r="B2066">
        <v>2970</v>
      </c>
      <c r="C2066" t="s">
        <v>701</v>
      </c>
      <c r="D2066" t="s">
        <v>26</v>
      </c>
      <c r="E2066" t="s">
        <v>99</v>
      </c>
      <c r="F2066" t="s">
        <v>4524</v>
      </c>
      <c r="G2066" t="str">
        <f>"00533356"</f>
        <v>00533356</v>
      </c>
      <c r="H2066">
        <v>29.2</v>
      </c>
      <c r="I2066">
        <v>10</v>
      </c>
      <c r="M2066">
        <v>0</v>
      </c>
      <c r="N2066">
        <v>0</v>
      </c>
      <c r="O2066">
        <v>0</v>
      </c>
      <c r="P2066">
        <v>39.2</v>
      </c>
      <c r="Q2066">
        <v>0</v>
      </c>
      <c r="R2066">
        <v>0</v>
      </c>
      <c r="S2066">
        <v>0</v>
      </c>
      <c r="T2066">
        <v>0</v>
      </c>
      <c r="U2066" s="1">
        <v>0</v>
      </c>
      <c r="V2066">
        <v>39.2</v>
      </c>
    </row>
    <row r="2067" spans="1:22" ht="15">
      <c r="A2067" s="4">
        <v>2060</v>
      </c>
      <c r="B2067">
        <v>2220</v>
      </c>
      <c r="C2067" t="s">
        <v>4525</v>
      </c>
      <c r="D2067" t="s">
        <v>50</v>
      </c>
      <c r="E2067" t="s">
        <v>909</v>
      </c>
      <c r="F2067" t="s">
        <v>4526</v>
      </c>
      <c r="G2067" t="str">
        <f>"00208270"</f>
        <v>00208270</v>
      </c>
      <c r="H2067">
        <v>29.16</v>
      </c>
      <c r="I2067">
        <v>0</v>
      </c>
      <c r="M2067">
        <v>4</v>
      </c>
      <c r="N2067">
        <v>0</v>
      </c>
      <c r="O2067">
        <v>0</v>
      </c>
      <c r="P2067">
        <v>33.16</v>
      </c>
      <c r="Q2067">
        <v>0</v>
      </c>
      <c r="R2067">
        <v>0</v>
      </c>
      <c r="S2067">
        <v>6</v>
      </c>
      <c r="T2067">
        <v>0</v>
      </c>
      <c r="U2067" s="1">
        <v>0</v>
      </c>
      <c r="V2067">
        <v>39.16</v>
      </c>
    </row>
    <row r="2068" spans="1:22" ht="15">
      <c r="A2068" s="4">
        <v>2061</v>
      </c>
      <c r="B2068">
        <v>2040</v>
      </c>
      <c r="C2068" t="s">
        <v>4527</v>
      </c>
      <c r="D2068" t="s">
        <v>102</v>
      </c>
      <c r="E2068" t="s">
        <v>73</v>
      </c>
      <c r="F2068" t="s">
        <v>4528</v>
      </c>
      <c r="G2068" t="str">
        <f>"00384708"</f>
        <v>00384708</v>
      </c>
      <c r="H2068">
        <v>29.16</v>
      </c>
      <c r="I2068">
        <v>0</v>
      </c>
      <c r="M2068">
        <v>4</v>
      </c>
      <c r="N2068">
        <v>0</v>
      </c>
      <c r="O2068">
        <v>0</v>
      </c>
      <c r="P2068">
        <v>33.16</v>
      </c>
      <c r="Q2068">
        <v>0</v>
      </c>
      <c r="R2068">
        <v>0</v>
      </c>
      <c r="S2068">
        <v>6</v>
      </c>
      <c r="T2068">
        <v>0</v>
      </c>
      <c r="U2068" s="1">
        <v>0</v>
      </c>
      <c r="V2068">
        <v>39.16</v>
      </c>
    </row>
    <row r="2069" spans="1:22" ht="15">
      <c r="A2069" s="4">
        <v>2062</v>
      </c>
      <c r="B2069">
        <v>3153</v>
      </c>
      <c r="C2069" t="s">
        <v>4529</v>
      </c>
      <c r="D2069" t="s">
        <v>453</v>
      </c>
      <c r="E2069" t="s">
        <v>23</v>
      </c>
      <c r="F2069" t="s">
        <v>4530</v>
      </c>
      <c r="G2069" t="str">
        <f>"00506426"</f>
        <v>00506426</v>
      </c>
      <c r="H2069">
        <v>33.08</v>
      </c>
      <c r="I2069">
        <v>0</v>
      </c>
      <c r="M2069">
        <v>0</v>
      </c>
      <c r="N2069">
        <v>0</v>
      </c>
      <c r="O2069">
        <v>0</v>
      </c>
      <c r="P2069">
        <v>33.08</v>
      </c>
      <c r="Q2069">
        <v>0</v>
      </c>
      <c r="R2069">
        <v>0</v>
      </c>
      <c r="S2069">
        <v>6</v>
      </c>
      <c r="T2069">
        <v>0</v>
      </c>
      <c r="U2069" s="1">
        <v>0</v>
      </c>
      <c r="V2069">
        <v>39.08</v>
      </c>
    </row>
    <row r="2070" spans="1:22" ht="15">
      <c r="A2070" s="4">
        <v>2063</v>
      </c>
      <c r="B2070">
        <v>1497</v>
      </c>
      <c r="C2070" t="s">
        <v>4531</v>
      </c>
      <c r="D2070" t="s">
        <v>273</v>
      </c>
      <c r="E2070" t="s">
        <v>59</v>
      </c>
      <c r="F2070" t="s">
        <v>4532</v>
      </c>
      <c r="G2070" t="str">
        <f>"00530018"</f>
        <v>00530018</v>
      </c>
      <c r="H2070">
        <v>36</v>
      </c>
      <c r="I2070">
        <v>0</v>
      </c>
      <c r="M2070">
        <v>0</v>
      </c>
      <c r="N2070">
        <v>0</v>
      </c>
      <c r="O2070">
        <v>0</v>
      </c>
      <c r="P2070">
        <v>36</v>
      </c>
      <c r="Q2070">
        <v>0</v>
      </c>
      <c r="R2070">
        <v>0</v>
      </c>
      <c r="S2070">
        <v>3</v>
      </c>
      <c r="T2070">
        <v>0</v>
      </c>
      <c r="U2070" s="1">
        <v>0</v>
      </c>
      <c r="V2070">
        <v>39</v>
      </c>
    </row>
    <row r="2071" spans="1:22" ht="15">
      <c r="A2071" s="4">
        <v>2064</v>
      </c>
      <c r="B2071">
        <v>1843</v>
      </c>
      <c r="C2071" t="s">
        <v>4533</v>
      </c>
      <c r="D2071" t="s">
        <v>4534</v>
      </c>
      <c r="E2071" t="s">
        <v>4535</v>
      </c>
      <c r="F2071" t="s">
        <v>4536</v>
      </c>
      <c r="G2071" t="str">
        <f>"00531199"</f>
        <v>00531199</v>
      </c>
      <c r="H2071">
        <v>36</v>
      </c>
      <c r="I2071">
        <v>0</v>
      </c>
      <c r="M2071">
        <v>0</v>
      </c>
      <c r="N2071">
        <v>0</v>
      </c>
      <c r="O2071">
        <v>0</v>
      </c>
      <c r="P2071">
        <v>36</v>
      </c>
      <c r="Q2071">
        <v>0</v>
      </c>
      <c r="R2071">
        <v>0</v>
      </c>
      <c r="S2071">
        <v>3</v>
      </c>
      <c r="T2071">
        <v>0</v>
      </c>
      <c r="U2071" s="1">
        <v>0</v>
      </c>
      <c r="V2071">
        <v>39</v>
      </c>
    </row>
    <row r="2072" spans="1:22" ht="15">
      <c r="A2072" s="4">
        <v>2065</v>
      </c>
      <c r="B2072">
        <v>960</v>
      </c>
      <c r="C2072" t="s">
        <v>4537</v>
      </c>
      <c r="D2072" t="s">
        <v>72</v>
      </c>
      <c r="E2072" t="s">
        <v>19</v>
      </c>
      <c r="F2072" t="s">
        <v>4538</v>
      </c>
      <c r="G2072" t="str">
        <f>"00531446"</f>
        <v>00531446</v>
      </c>
      <c r="H2072">
        <v>12</v>
      </c>
      <c r="I2072">
        <v>0</v>
      </c>
      <c r="M2072">
        <v>4</v>
      </c>
      <c r="N2072">
        <v>0</v>
      </c>
      <c r="O2072">
        <v>0</v>
      </c>
      <c r="P2072">
        <v>16</v>
      </c>
      <c r="Q2072">
        <v>14</v>
      </c>
      <c r="R2072">
        <v>14</v>
      </c>
      <c r="S2072">
        <v>9</v>
      </c>
      <c r="T2072">
        <v>0</v>
      </c>
      <c r="U2072" s="1">
        <v>0</v>
      </c>
      <c r="V2072">
        <v>39</v>
      </c>
    </row>
    <row r="2073" spans="1:22" ht="15">
      <c r="A2073" s="4">
        <v>2066</v>
      </c>
      <c r="B2073">
        <v>2156</v>
      </c>
      <c r="C2073" t="s">
        <v>4539</v>
      </c>
      <c r="D2073" t="s">
        <v>333</v>
      </c>
      <c r="E2073" t="s">
        <v>73</v>
      </c>
      <c r="F2073" t="s">
        <v>4540</v>
      </c>
      <c r="G2073" t="str">
        <f>"00305303"</f>
        <v>00305303</v>
      </c>
      <c r="H2073">
        <v>28.8</v>
      </c>
      <c r="I2073">
        <v>0</v>
      </c>
      <c r="M2073">
        <v>4</v>
      </c>
      <c r="N2073">
        <v>0</v>
      </c>
      <c r="O2073">
        <v>0</v>
      </c>
      <c r="P2073">
        <v>32.8</v>
      </c>
      <c r="Q2073">
        <v>0</v>
      </c>
      <c r="R2073">
        <v>0</v>
      </c>
      <c r="S2073">
        <v>6</v>
      </c>
      <c r="T2073">
        <v>0</v>
      </c>
      <c r="U2073" s="1">
        <v>0</v>
      </c>
      <c r="V2073">
        <v>38.8</v>
      </c>
    </row>
    <row r="2074" spans="1:22" ht="15">
      <c r="A2074" s="4">
        <v>2067</v>
      </c>
      <c r="B2074">
        <v>48</v>
      </c>
      <c r="C2074" t="s">
        <v>4541</v>
      </c>
      <c r="D2074" t="s">
        <v>4542</v>
      </c>
      <c r="E2074" t="s">
        <v>59</v>
      </c>
      <c r="F2074" t="s">
        <v>4543</v>
      </c>
      <c r="G2074" t="str">
        <f>"00162058"</f>
        <v>00162058</v>
      </c>
      <c r="H2074">
        <v>28.8</v>
      </c>
      <c r="I2074">
        <v>0</v>
      </c>
      <c r="M2074">
        <v>4</v>
      </c>
      <c r="N2074">
        <v>0</v>
      </c>
      <c r="O2074">
        <v>0</v>
      </c>
      <c r="P2074">
        <v>32.8</v>
      </c>
      <c r="Q2074">
        <v>6</v>
      </c>
      <c r="R2074">
        <v>6</v>
      </c>
      <c r="S2074">
        <v>0</v>
      </c>
      <c r="T2074">
        <v>0</v>
      </c>
      <c r="U2074" s="1">
        <v>0</v>
      </c>
      <c r="V2074">
        <v>38.8</v>
      </c>
    </row>
    <row r="2075" spans="1:22" ht="15">
      <c r="A2075" s="4">
        <v>2068</v>
      </c>
      <c r="B2075">
        <v>151</v>
      </c>
      <c r="C2075" t="s">
        <v>4544</v>
      </c>
      <c r="D2075" t="s">
        <v>93</v>
      </c>
      <c r="E2075" t="s">
        <v>11</v>
      </c>
      <c r="F2075" t="s">
        <v>4545</v>
      </c>
      <c r="G2075" t="str">
        <f>"00290135"</f>
        <v>00290135</v>
      </c>
      <c r="H2075">
        <v>29.8</v>
      </c>
      <c r="I2075">
        <v>0</v>
      </c>
      <c r="M2075">
        <v>0</v>
      </c>
      <c r="N2075">
        <v>0</v>
      </c>
      <c r="O2075">
        <v>0</v>
      </c>
      <c r="P2075">
        <v>29.8</v>
      </c>
      <c r="Q2075">
        <v>0</v>
      </c>
      <c r="R2075">
        <v>0</v>
      </c>
      <c r="S2075">
        <v>9</v>
      </c>
      <c r="T2075">
        <v>0</v>
      </c>
      <c r="U2075" s="1">
        <v>0</v>
      </c>
      <c r="V2075">
        <v>38.8</v>
      </c>
    </row>
    <row r="2076" spans="1:22" ht="15">
      <c r="A2076" s="4">
        <v>2069</v>
      </c>
      <c r="B2076">
        <v>394</v>
      </c>
      <c r="C2076" t="s">
        <v>4546</v>
      </c>
      <c r="D2076" t="s">
        <v>189</v>
      </c>
      <c r="E2076" t="s">
        <v>83</v>
      </c>
      <c r="F2076" t="s">
        <v>4547</v>
      </c>
      <c r="G2076" t="str">
        <f>"00530313"</f>
        <v>00530313</v>
      </c>
      <c r="H2076">
        <v>28.8</v>
      </c>
      <c r="I2076">
        <v>10</v>
      </c>
      <c r="M2076">
        <v>0</v>
      </c>
      <c r="N2076">
        <v>0</v>
      </c>
      <c r="O2076">
        <v>0</v>
      </c>
      <c r="P2076">
        <v>38.8</v>
      </c>
      <c r="Q2076">
        <v>0</v>
      </c>
      <c r="R2076">
        <v>0</v>
      </c>
      <c r="S2076">
        <v>0</v>
      </c>
      <c r="T2076">
        <v>0</v>
      </c>
      <c r="U2076" s="1">
        <v>0</v>
      </c>
      <c r="V2076">
        <v>38.8</v>
      </c>
    </row>
    <row r="2077" spans="1:22" ht="15">
      <c r="A2077" s="4">
        <v>2070</v>
      </c>
      <c r="B2077">
        <v>3382</v>
      </c>
      <c r="C2077" t="s">
        <v>4548</v>
      </c>
      <c r="D2077" t="s">
        <v>156</v>
      </c>
      <c r="E2077" t="s">
        <v>134</v>
      </c>
      <c r="F2077" t="s">
        <v>4549</v>
      </c>
      <c r="G2077" t="str">
        <f>"00401728"</f>
        <v>00401728</v>
      </c>
      <c r="H2077">
        <v>28.8</v>
      </c>
      <c r="I2077">
        <v>0</v>
      </c>
      <c r="M2077">
        <v>4</v>
      </c>
      <c r="N2077">
        <v>0</v>
      </c>
      <c r="O2077">
        <v>0</v>
      </c>
      <c r="P2077">
        <v>32.8</v>
      </c>
      <c r="Q2077">
        <v>0</v>
      </c>
      <c r="R2077">
        <v>0</v>
      </c>
      <c r="S2077">
        <v>6</v>
      </c>
      <c r="T2077">
        <v>0</v>
      </c>
      <c r="U2077" s="1">
        <v>0</v>
      </c>
      <c r="V2077">
        <v>38.8</v>
      </c>
    </row>
    <row r="2078" spans="1:22" ht="15">
      <c r="A2078" s="4">
        <v>2071</v>
      </c>
      <c r="B2078">
        <v>2868</v>
      </c>
      <c r="C2078" t="s">
        <v>4550</v>
      </c>
      <c r="D2078" t="s">
        <v>11</v>
      </c>
      <c r="E2078" t="s">
        <v>23</v>
      </c>
      <c r="F2078" t="s">
        <v>4551</v>
      </c>
      <c r="G2078" t="str">
        <f>"201603000033"</f>
        <v>201603000033</v>
      </c>
      <c r="H2078">
        <v>28.8</v>
      </c>
      <c r="I2078">
        <v>0</v>
      </c>
      <c r="K2078">
        <v>6</v>
      </c>
      <c r="M2078">
        <v>4</v>
      </c>
      <c r="N2078">
        <v>6</v>
      </c>
      <c r="O2078">
        <v>0</v>
      </c>
      <c r="P2078">
        <v>38.8</v>
      </c>
      <c r="Q2078">
        <v>0</v>
      </c>
      <c r="R2078">
        <v>0</v>
      </c>
      <c r="S2078">
        <v>0</v>
      </c>
      <c r="T2078">
        <v>0</v>
      </c>
      <c r="U2078" s="1">
        <v>0</v>
      </c>
      <c r="V2078">
        <v>38.8</v>
      </c>
    </row>
    <row r="2079" spans="1:22" ht="15">
      <c r="A2079" s="4">
        <v>2072</v>
      </c>
      <c r="B2079">
        <v>217</v>
      </c>
      <c r="C2079" t="s">
        <v>2127</v>
      </c>
      <c r="D2079" t="s">
        <v>4552</v>
      </c>
      <c r="E2079" t="s">
        <v>59</v>
      </c>
      <c r="F2079" t="s">
        <v>4553</v>
      </c>
      <c r="G2079" t="str">
        <f>"00529704"</f>
        <v>00529704</v>
      </c>
      <c r="H2079">
        <v>28.8</v>
      </c>
      <c r="I2079">
        <v>0</v>
      </c>
      <c r="M2079">
        <v>4</v>
      </c>
      <c r="N2079">
        <v>0</v>
      </c>
      <c r="O2079">
        <v>0</v>
      </c>
      <c r="P2079">
        <v>32.8</v>
      </c>
      <c r="Q2079">
        <v>6</v>
      </c>
      <c r="R2079">
        <v>6</v>
      </c>
      <c r="S2079">
        <v>0</v>
      </c>
      <c r="T2079">
        <v>0</v>
      </c>
      <c r="U2079" s="1">
        <v>0</v>
      </c>
      <c r="V2079">
        <v>38.8</v>
      </c>
    </row>
    <row r="2080" spans="1:22" ht="15">
      <c r="A2080" s="4">
        <v>2073</v>
      </c>
      <c r="B2080">
        <v>3357</v>
      </c>
      <c r="C2080" t="s">
        <v>796</v>
      </c>
      <c r="D2080" t="s">
        <v>511</v>
      </c>
      <c r="E2080" t="s">
        <v>11</v>
      </c>
      <c r="F2080" t="s">
        <v>4554</v>
      </c>
      <c r="G2080" t="str">
        <f>"00532832"</f>
        <v>00532832</v>
      </c>
      <c r="H2080">
        <v>28.8</v>
      </c>
      <c r="I2080">
        <v>0</v>
      </c>
      <c r="M2080">
        <v>4</v>
      </c>
      <c r="N2080">
        <v>0</v>
      </c>
      <c r="O2080">
        <v>0</v>
      </c>
      <c r="P2080">
        <v>32.8</v>
      </c>
      <c r="Q2080">
        <v>0</v>
      </c>
      <c r="R2080">
        <v>0</v>
      </c>
      <c r="S2080">
        <v>6</v>
      </c>
      <c r="T2080">
        <v>0</v>
      </c>
      <c r="U2080" s="1">
        <v>0</v>
      </c>
      <c r="V2080">
        <v>38.8</v>
      </c>
    </row>
    <row r="2081" spans="1:22" ht="15">
      <c r="A2081" s="4">
        <v>2074</v>
      </c>
      <c r="B2081">
        <v>1821</v>
      </c>
      <c r="C2081" t="s">
        <v>287</v>
      </c>
      <c r="D2081" t="s">
        <v>93</v>
      </c>
      <c r="E2081" t="s">
        <v>712</v>
      </c>
      <c r="F2081" t="s">
        <v>4555</v>
      </c>
      <c r="G2081" t="str">
        <f>"00510130"</f>
        <v>00510130</v>
      </c>
      <c r="H2081">
        <v>28.8</v>
      </c>
      <c r="I2081">
        <v>0</v>
      </c>
      <c r="M2081">
        <v>4</v>
      </c>
      <c r="N2081">
        <v>0</v>
      </c>
      <c r="O2081">
        <v>0</v>
      </c>
      <c r="P2081">
        <v>32.8</v>
      </c>
      <c r="Q2081">
        <v>0</v>
      </c>
      <c r="R2081">
        <v>0</v>
      </c>
      <c r="S2081">
        <v>6</v>
      </c>
      <c r="T2081">
        <v>0</v>
      </c>
      <c r="U2081" s="1">
        <v>0</v>
      </c>
      <c r="V2081">
        <v>38.8</v>
      </c>
    </row>
    <row r="2082" spans="1:22" ht="15">
      <c r="A2082" s="4">
        <v>2075</v>
      </c>
      <c r="B2082">
        <v>1367</v>
      </c>
      <c r="C2082" t="s">
        <v>4556</v>
      </c>
      <c r="D2082" t="s">
        <v>121</v>
      </c>
      <c r="E2082" t="s">
        <v>19</v>
      </c>
      <c r="F2082" t="s">
        <v>4557</v>
      </c>
      <c r="G2082" t="str">
        <f>"00531746"</f>
        <v>00531746</v>
      </c>
      <c r="H2082">
        <v>28.8</v>
      </c>
      <c r="I2082">
        <v>10</v>
      </c>
      <c r="M2082">
        <v>0</v>
      </c>
      <c r="N2082">
        <v>0</v>
      </c>
      <c r="O2082">
        <v>0</v>
      </c>
      <c r="P2082">
        <v>38.8</v>
      </c>
      <c r="Q2082">
        <v>0</v>
      </c>
      <c r="R2082">
        <v>0</v>
      </c>
      <c r="S2082">
        <v>0</v>
      </c>
      <c r="T2082">
        <v>0</v>
      </c>
      <c r="U2082" s="1">
        <v>0</v>
      </c>
      <c r="V2082">
        <v>38.8</v>
      </c>
    </row>
    <row r="2083" spans="1:22" ht="15">
      <c r="A2083" s="4">
        <v>2076</v>
      </c>
      <c r="B2083">
        <v>2777</v>
      </c>
      <c r="C2083" t="s">
        <v>4558</v>
      </c>
      <c r="D2083" t="s">
        <v>582</v>
      </c>
      <c r="E2083" t="s">
        <v>99</v>
      </c>
      <c r="F2083" t="s">
        <v>4559</v>
      </c>
      <c r="G2083" t="str">
        <f>"201511039089"</f>
        <v>201511039089</v>
      </c>
      <c r="H2083">
        <v>28.8</v>
      </c>
      <c r="I2083">
        <v>10</v>
      </c>
      <c r="M2083">
        <v>0</v>
      </c>
      <c r="N2083">
        <v>0</v>
      </c>
      <c r="O2083">
        <v>0</v>
      </c>
      <c r="P2083">
        <v>38.8</v>
      </c>
      <c r="Q2083">
        <v>0</v>
      </c>
      <c r="R2083">
        <v>0</v>
      </c>
      <c r="S2083">
        <v>0</v>
      </c>
      <c r="T2083">
        <v>0</v>
      </c>
      <c r="U2083" s="1">
        <v>0</v>
      </c>
      <c r="V2083">
        <v>38.8</v>
      </c>
    </row>
    <row r="2084" spans="1:22" ht="15">
      <c r="A2084" s="4">
        <v>2077</v>
      </c>
      <c r="B2084">
        <v>1020</v>
      </c>
      <c r="C2084" t="s">
        <v>3956</v>
      </c>
      <c r="D2084" t="s">
        <v>4560</v>
      </c>
      <c r="E2084" t="s">
        <v>19</v>
      </c>
      <c r="F2084" t="s">
        <v>4561</v>
      </c>
      <c r="G2084" t="str">
        <f>"00514288"</f>
        <v>00514288</v>
      </c>
      <c r="H2084">
        <v>28.8</v>
      </c>
      <c r="I2084">
        <v>0</v>
      </c>
      <c r="M2084">
        <v>4</v>
      </c>
      <c r="N2084">
        <v>0</v>
      </c>
      <c r="O2084">
        <v>0</v>
      </c>
      <c r="P2084">
        <v>32.8</v>
      </c>
      <c r="Q2084">
        <v>0</v>
      </c>
      <c r="R2084">
        <v>0</v>
      </c>
      <c r="S2084">
        <v>6</v>
      </c>
      <c r="T2084">
        <v>0</v>
      </c>
      <c r="U2084" s="1">
        <v>0</v>
      </c>
      <c r="V2084">
        <v>38.8</v>
      </c>
    </row>
    <row r="2085" spans="1:22" ht="15">
      <c r="A2085" s="4">
        <v>2078</v>
      </c>
      <c r="B2085">
        <v>349</v>
      </c>
      <c r="C2085" t="s">
        <v>4562</v>
      </c>
      <c r="D2085" t="s">
        <v>640</v>
      </c>
      <c r="E2085" t="s">
        <v>55</v>
      </c>
      <c r="F2085" t="s">
        <v>4563</v>
      </c>
      <c r="G2085" t="str">
        <f>"00248062"</f>
        <v>00248062</v>
      </c>
      <c r="H2085">
        <v>22.76</v>
      </c>
      <c r="I2085">
        <v>10</v>
      </c>
      <c r="M2085">
        <v>0</v>
      </c>
      <c r="N2085">
        <v>0</v>
      </c>
      <c r="O2085">
        <v>0</v>
      </c>
      <c r="P2085">
        <v>32.76</v>
      </c>
      <c r="Q2085">
        <v>0</v>
      </c>
      <c r="R2085">
        <v>0</v>
      </c>
      <c r="S2085">
        <v>6</v>
      </c>
      <c r="T2085">
        <v>0</v>
      </c>
      <c r="U2085" s="1">
        <v>0</v>
      </c>
      <c r="V2085">
        <v>38.76</v>
      </c>
    </row>
    <row r="2086" spans="1:22" ht="15">
      <c r="A2086" s="4">
        <v>2079</v>
      </c>
      <c r="B2086">
        <v>2845</v>
      </c>
      <c r="C2086" t="s">
        <v>4564</v>
      </c>
      <c r="D2086" t="s">
        <v>2404</v>
      </c>
      <c r="E2086" t="s">
        <v>1180</v>
      </c>
      <c r="F2086" t="s">
        <v>4565</v>
      </c>
      <c r="G2086" t="str">
        <f>"00531052"</f>
        <v>00531052</v>
      </c>
      <c r="H2086">
        <v>21.6</v>
      </c>
      <c r="I2086">
        <v>10</v>
      </c>
      <c r="M2086">
        <v>4</v>
      </c>
      <c r="N2086">
        <v>0</v>
      </c>
      <c r="O2086">
        <v>0</v>
      </c>
      <c r="P2086">
        <v>35.6</v>
      </c>
      <c r="Q2086">
        <v>0</v>
      </c>
      <c r="R2086">
        <v>0</v>
      </c>
      <c r="S2086">
        <v>3</v>
      </c>
      <c r="T2086">
        <v>0</v>
      </c>
      <c r="U2086" s="1">
        <v>0</v>
      </c>
      <c r="V2086">
        <v>38.6</v>
      </c>
    </row>
    <row r="2087" spans="1:22" ht="15">
      <c r="A2087" s="4">
        <v>2080</v>
      </c>
      <c r="B2087">
        <v>42</v>
      </c>
      <c r="C2087" t="s">
        <v>4566</v>
      </c>
      <c r="D2087" t="s">
        <v>40</v>
      </c>
      <c r="E2087" t="s">
        <v>327</v>
      </c>
      <c r="F2087" t="s">
        <v>4567</v>
      </c>
      <c r="G2087" t="str">
        <f>"00526739"</f>
        <v>00526739</v>
      </c>
      <c r="H2087">
        <v>21.6</v>
      </c>
      <c r="I2087">
        <v>10</v>
      </c>
      <c r="M2087">
        <v>0</v>
      </c>
      <c r="N2087">
        <v>0</v>
      </c>
      <c r="O2087">
        <v>0</v>
      </c>
      <c r="P2087">
        <v>31.6</v>
      </c>
      <c r="Q2087">
        <v>4</v>
      </c>
      <c r="R2087">
        <v>4</v>
      </c>
      <c r="S2087">
        <v>3</v>
      </c>
      <c r="T2087">
        <v>0</v>
      </c>
      <c r="U2087" s="1">
        <v>0</v>
      </c>
      <c r="V2087">
        <v>38.6</v>
      </c>
    </row>
    <row r="2088" spans="1:22" ht="15">
      <c r="A2088" s="4">
        <v>2081</v>
      </c>
      <c r="B2088">
        <v>1075</v>
      </c>
      <c r="C2088" t="s">
        <v>2496</v>
      </c>
      <c r="D2088" t="s">
        <v>1117</v>
      </c>
      <c r="E2088" t="s">
        <v>4568</v>
      </c>
      <c r="F2088" t="s">
        <v>4569</v>
      </c>
      <c r="G2088" t="str">
        <f>"00531181"</f>
        <v>00531181</v>
      </c>
      <c r="H2088">
        <v>21.6</v>
      </c>
      <c r="I2088">
        <v>0</v>
      </c>
      <c r="M2088">
        <v>0</v>
      </c>
      <c r="N2088">
        <v>0</v>
      </c>
      <c r="O2088">
        <v>0</v>
      </c>
      <c r="P2088">
        <v>21.6</v>
      </c>
      <c r="Q2088">
        <v>17</v>
      </c>
      <c r="R2088">
        <v>17</v>
      </c>
      <c r="S2088">
        <v>0</v>
      </c>
      <c r="T2088">
        <v>0</v>
      </c>
      <c r="U2088" s="1">
        <v>0</v>
      </c>
      <c r="V2088">
        <v>38.6</v>
      </c>
    </row>
    <row r="2089" spans="1:22" ht="15">
      <c r="A2089" s="4">
        <v>2082</v>
      </c>
      <c r="B2089">
        <v>1852</v>
      </c>
      <c r="C2089" t="s">
        <v>4570</v>
      </c>
      <c r="D2089" t="s">
        <v>222</v>
      </c>
      <c r="E2089" t="s">
        <v>317</v>
      </c>
      <c r="F2089" t="s">
        <v>4571</v>
      </c>
      <c r="G2089" t="str">
        <f>"00531336"</f>
        <v>00531336</v>
      </c>
      <c r="H2089">
        <v>32.44</v>
      </c>
      <c r="I2089">
        <v>0</v>
      </c>
      <c r="M2089">
        <v>0</v>
      </c>
      <c r="N2089">
        <v>0</v>
      </c>
      <c r="O2089">
        <v>0</v>
      </c>
      <c r="P2089">
        <v>32.44</v>
      </c>
      <c r="Q2089">
        <v>0</v>
      </c>
      <c r="R2089">
        <v>0</v>
      </c>
      <c r="S2089">
        <v>6</v>
      </c>
      <c r="T2089">
        <v>0</v>
      </c>
      <c r="U2089" s="1">
        <v>0</v>
      </c>
      <c r="V2089">
        <v>38.44</v>
      </c>
    </row>
    <row r="2090" spans="1:22" ht="15">
      <c r="A2090" s="4">
        <v>2083</v>
      </c>
      <c r="B2090">
        <v>1006</v>
      </c>
      <c r="C2090" t="s">
        <v>4558</v>
      </c>
      <c r="D2090" t="s">
        <v>799</v>
      </c>
      <c r="E2090" t="s">
        <v>225</v>
      </c>
      <c r="F2090" t="s">
        <v>4572</v>
      </c>
      <c r="G2090" t="str">
        <f>"00479387"</f>
        <v>00479387</v>
      </c>
      <c r="H2090">
        <v>14.4</v>
      </c>
      <c r="I2090">
        <v>0</v>
      </c>
      <c r="L2090">
        <v>4</v>
      </c>
      <c r="M2090">
        <v>4</v>
      </c>
      <c r="N2090">
        <v>4</v>
      </c>
      <c r="O2090">
        <v>0</v>
      </c>
      <c r="P2090">
        <v>22.4</v>
      </c>
      <c r="Q2090">
        <v>7</v>
      </c>
      <c r="R2090">
        <v>7</v>
      </c>
      <c r="S2090">
        <v>9</v>
      </c>
      <c r="T2090">
        <v>0</v>
      </c>
      <c r="U2090" s="1">
        <v>0</v>
      </c>
      <c r="V2090">
        <v>38.4</v>
      </c>
    </row>
    <row r="2091" spans="1:22" ht="15">
      <c r="A2091" s="4">
        <v>2084</v>
      </c>
      <c r="B2091">
        <v>420</v>
      </c>
      <c r="C2091" t="s">
        <v>4573</v>
      </c>
      <c r="D2091" t="s">
        <v>4574</v>
      </c>
      <c r="E2091" t="s">
        <v>4575</v>
      </c>
      <c r="F2091" t="s">
        <v>4576</v>
      </c>
      <c r="G2091" t="str">
        <f>"00499019"</f>
        <v>00499019</v>
      </c>
      <c r="H2091">
        <v>14.4</v>
      </c>
      <c r="I2091">
        <v>0</v>
      </c>
      <c r="M2091">
        <v>4</v>
      </c>
      <c r="N2091">
        <v>0</v>
      </c>
      <c r="O2091">
        <v>0</v>
      </c>
      <c r="P2091">
        <v>18.4</v>
      </c>
      <c r="Q2091">
        <v>17</v>
      </c>
      <c r="R2091">
        <v>17</v>
      </c>
      <c r="S2091">
        <v>3</v>
      </c>
      <c r="T2091">
        <v>0</v>
      </c>
      <c r="U2091" s="1">
        <v>0</v>
      </c>
      <c r="V2091">
        <v>38.4</v>
      </c>
    </row>
    <row r="2092" spans="1:22" ht="15">
      <c r="A2092" s="4">
        <v>2085</v>
      </c>
      <c r="B2092">
        <v>1190</v>
      </c>
      <c r="C2092" t="s">
        <v>4577</v>
      </c>
      <c r="D2092" t="s">
        <v>22</v>
      </c>
      <c r="E2092" t="s">
        <v>30</v>
      </c>
      <c r="F2092" t="s">
        <v>4578</v>
      </c>
      <c r="G2092" t="str">
        <f>"00498424"</f>
        <v>00498424</v>
      </c>
      <c r="H2092">
        <v>14.4</v>
      </c>
      <c r="I2092">
        <v>0</v>
      </c>
      <c r="M2092">
        <v>4</v>
      </c>
      <c r="N2092">
        <v>0</v>
      </c>
      <c r="O2092">
        <v>0</v>
      </c>
      <c r="P2092">
        <v>18.4</v>
      </c>
      <c r="Q2092">
        <v>20</v>
      </c>
      <c r="R2092">
        <v>20</v>
      </c>
      <c r="S2092">
        <v>0</v>
      </c>
      <c r="T2092">
        <v>0</v>
      </c>
      <c r="U2092" s="1">
        <v>0</v>
      </c>
      <c r="V2092">
        <v>38.4</v>
      </c>
    </row>
    <row r="2093" spans="1:22" ht="15">
      <c r="A2093" s="4">
        <v>2086</v>
      </c>
      <c r="B2093">
        <v>512</v>
      </c>
      <c r="C2093" t="s">
        <v>635</v>
      </c>
      <c r="D2093" t="s">
        <v>1514</v>
      </c>
      <c r="E2093" t="s">
        <v>30</v>
      </c>
      <c r="F2093" t="s">
        <v>4579</v>
      </c>
      <c r="G2093" t="str">
        <f>"201511017755"</f>
        <v>201511017755</v>
      </c>
      <c r="H2093">
        <v>24.4</v>
      </c>
      <c r="I2093">
        <v>0</v>
      </c>
      <c r="L2093">
        <v>4</v>
      </c>
      <c r="M2093">
        <v>4</v>
      </c>
      <c r="N2093">
        <v>4</v>
      </c>
      <c r="O2093">
        <v>0</v>
      </c>
      <c r="P2093">
        <v>32.4</v>
      </c>
      <c r="Q2093">
        <v>0</v>
      </c>
      <c r="R2093">
        <v>0</v>
      </c>
      <c r="S2093">
        <v>6</v>
      </c>
      <c r="T2093">
        <v>0</v>
      </c>
      <c r="U2093" s="1">
        <v>0</v>
      </c>
      <c r="V2093">
        <v>38.4</v>
      </c>
    </row>
    <row r="2094" spans="1:22" ht="15">
      <c r="A2094" s="4">
        <v>2087</v>
      </c>
      <c r="B2094">
        <v>906</v>
      </c>
      <c r="C2094" t="s">
        <v>4580</v>
      </c>
      <c r="D2094" t="s">
        <v>14</v>
      </c>
      <c r="E2094" t="s">
        <v>4581</v>
      </c>
      <c r="F2094" t="s">
        <v>4582</v>
      </c>
      <c r="G2094" t="str">
        <f>"00530504"</f>
        <v>00530504</v>
      </c>
      <c r="H2094">
        <v>32.28</v>
      </c>
      <c r="I2094">
        <v>0</v>
      </c>
      <c r="M2094">
        <v>0</v>
      </c>
      <c r="N2094">
        <v>0</v>
      </c>
      <c r="O2094">
        <v>0</v>
      </c>
      <c r="P2094">
        <v>32.28</v>
      </c>
      <c r="Q2094">
        <v>0</v>
      </c>
      <c r="R2094">
        <v>0</v>
      </c>
      <c r="S2094">
        <v>6</v>
      </c>
      <c r="T2094">
        <v>0</v>
      </c>
      <c r="U2094" s="1">
        <v>0</v>
      </c>
      <c r="V2094">
        <v>38.28</v>
      </c>
    </row>
    <row r="2095" spans="1:22" ht="15">
      <c r="A2095" s="4">
        <v>2088</v>
      </c>
      <c r="B2095">
        <v>1720</v>
      </c>
      <c r="C2095" t="s">
        <v>4583</v>
      </c>
      <c r="D2095" t="s">
        <v>232</v>
      </c>
      <c r="E2095" t="s">
        <v>1497</v>
      </c>
      <c r="F2095" t="s">
        <v>4584</v>
      </c>
      <c r="G2095" t="str">
        <f>"00522992"</f>
        <v>00522992</v>
      </c>
      <c r="H2095">
        <v>32.28</v>
      </c>
      <c r="I2095">
        <v>0</v>
      </c>
      <c r="M2095">
        <v>0</v>
      </c>
      <c r="N2095">
        <v>0</v>
      </c>
      <c r="O2095">
        <v>0</v>
      </c>
      <c r="P2095">
        <v>32.28</v>
      </c>
      <c r="Q2095">
        <v>0</v>
      </c>
      <c r="R2095">
        <v>0</v>
      </c>
      <c r="S2095">
        <v>6</v>
      </c>
      <c r="T2095">
        <v>0</v>
      </c>
      <c r="U2095" s="1">
        <v>0</v>
      </c>
      <c r="V2095">
        <v>38.28</v>
      </c>
    </row>
    <row r="2096" spans="1:22" ht="15">
      <c r="A2096" s="4">
        <v>2089</v>
      </c>
      <c r="B2096">
        <v>2826</v>
      </c>
      <c r="C2096" t="s">
        <v>4585</v>
      </c>
      <c r="D2096" t="s">
        <v>40</v>
      </c>
      <c r="E2096" t="s">
        <v>19</v>
      </c>
      <c r="F2096" t="s">
        <v>4586</v>
      </c>
      <c r="G2096" t="str">
        <f>"00531980"</f>
        <v>00531980</v>
      </c>
      <c r="H2096">
        <v>7.2</v>
      </c>
      <c r="I2096">
        <v>0</v>
      </c>
      <c r="M2096">
        <v>4</v>
      </c>
      <c r="N2096">
        <v>0</v>
      </c>
      <c r="O2096">
        <v>0</v>
      </c>
      <c r="P2096">
        <v>11.2</v>
      </c>
      <c r="Q2096">
        <v>18</v>
      </c>
      <c r="R2096">
        <v>18</v>
      </c>
      <c r="S2096">
        <v>9</v>
      </c>
      <c r="T2096">
        <v>0</v>
      </c>
      <c r="U2096" s="1">
        <v>0</v>
      </c>
      <c r="V2096">
        <v>38.2</v>
      </c>
    </row>
    <row r="2097" spans="1:22" ht="15">
      <c r="A2097" s="4">
        <v>2090</v>
      </c>
      <c r="B2097">
        <v>1213</v>
      </c>
      <c r="C2097" t="s">
        <v>4587</v>
      </c>
      <c r="D2097" t="s">
        <v>273</v>
      </c>
      <c r="E2097" t="s">
        <v>23</v>
      </c>
      <c r="F2097" t="s">
        <v>4588</v>
      </c>
      <c r="G2097" t="str">
        <f>"201510002663"</f>
        <v>201510002663</v>
      </c>
      <c r="H2097">
        <v>18.2</v>
      </c>
      <c r="I2097">
        <v>10</v>
      </c>
      <c r="M2097">
        <v>4</v>
      </c>
      <c r="N2097">
        <v>0</v>
      </c>
      <c r="O2097">
        <v>0</v>
      </c>
      <c r="P2097">
        <v>32.2</v>
      </c>
      <c r="Q2097">
        <v>0</v>
      </c>
      <c r="R2097">
        <v>0</v>
      </c>
      <c r="S2097">
        <v>6</v>
      </c>
      <c r="T2097">
        <v>0</v>
      </c>
      <c r="U2097" s="1">
        <v>0</v>
      </c>
      <c r="V2097">
        <v>38.2</v>
      </c>
    </row>
    <row r="2098" spans="1:22" ht="15">
      <c r="A2098" s="4">
        <v>2091</v>
      </c>
      <c r="B2098">
        <v>2442</v>
      </c>
      <c r="C2098" t="s">
        <v>4589</v>
      </c>
      <c r="D2098" t="s">
        <v>179</v>
      </c>
      <c r="E2098" t="s">
        <v>90</v>
      </c>
      <c r="F2098" t="s">
        <v>4590</v>
      </c>
      <c r="G2098" t="str">
        <f>"00534349"</f>
        <v>00534349</v>
      </c>
      <c r="H2098">
        <v>7.2</v>
      </c>
      <c r="I2098">
        <v>0</v>
      </c>
      <c r="L2098">
        <v>4</v>
      </c>
      <c r="M2098">
        <v>4</v>
      </c>
      <c r="N2098">
        <v>4</v>
      </c>
      <c r="O2098">
        <v>0</v>
      </c>
      <c r="P2098">
        <v>15.2</v>
      </c>
      <c r="Q2098">
        <v>23</v>
      </c>
      <c r="R2098">
        <v>23</v>
      </c>
      <c r="S2098">
        <v>0</v>
      </c>
      <c r="T2098">
        <v>0</v>
      </c>
      <c r="U2098" s="1">
        <v>0</v>
      </c>
      <c r="V2098">
        <v>38.2</v>
      </c>
    </row>
    <row r="2099" spans="1:22" ht="15">
      <c r="A2099" s="4">
        <v>2092</v>
      </c>
      <c r="B2099">
        <v>2566</v>
      </c>
      <c r="C2099" t="s">
        <v>17</v>
      </c>
      <c r="D2099" t="s">
        <v>14</v>
      </c>
      <c r="E2099" t="s">
        <v>59</v>
      </c>
      <c r="F2099" t="s">
        <v>4591</v>
      </c>
      <c r="G2099" t="str">
        <f>"00533204"</f>
        <v>00533204</v>
      </c>
      <c r="H2099">
        <v>7.2</v>
      </c>
      <c r="I2099">
        <v>0</v>
      </c>
      <c r="M2099">
        <v>0</v>
      </c>
      <c r="N2099">
        <v>0</v>
      </c>
      <c r="O2099">
        <v>0</v>
      </c>
      <c r="P2099">
        <v>7.2</v>
      </c>
      <c r="Q2099">
        <v>31</v>
      </c>
      <c r="R2099">
        <v>31</v>
      </c>
      <c r="S2099">
        <v>0</v>
      </c>
      <c r="T2099">
        <v>0</v>
      </c>
      <c r="U2099" s="1">
        <v>0</v>
      </c>
      <c r="V2099">
        <v>38.2</v>
      </c>
    </row>
    <row r="2100" spans="1:22" ht="15">
      <c r="A2100" s="4">
        <v>2093</v>
      </c>
      <c r="B2100">
        <v>2121</v>
      </c>
      <c r="C2100" t="s">
        <v>4592</v>
      </c>
      <c r="D2100" t="s">
        <v>193</v>
      </c>
      <c r="E2100" t="s">
        <v>59</v>
      </c>
      <c r="F2100" t="s">
        <v>4593</v>
      </c>
      <c r="G2100" t="str">
        <f>"00261541"</f>
        <v>00261541</v>
      </c>
      <c r="H2100">
        <v>29.08</v>
      </c>
      <c r="I2100">
        <v>0</v>
      </c>
      <c r="M2100">
        <v>0</v>
      </c>
      <c r="N2100">
        <v>0</v>
      </c>
      <c r="O2100">
        <v>0</v>
      </c>
      <c r="P2100">
        <v>29.08</v>
      </c>
      <c r="Q2100">
        <v>0</v>
      </c>
      <c r="R2100">
        <v>0</v>
      </c>
      <c r="S2100">
        <v>9</v>
      </c>
      <c r="T2100">
        <v>0</v>
      </c>
      <c r="U2100" s="1">
        <v>0</v>
      </c>
      <c r="V2100">
        <v>38.08</v>
      </c>
    </row>
    <row r="2101" spans="1:22" ht="15">
      <c r="A2101" s="4">
        <v>2094</v>
      </c>
      <c r="B2101">
        <v>1578</v>
      </c>
      <c r="C2101" t="s">
        <v>4594</v>
      </c>
      <c r="D2101" t="s">
        <v>222</v>
      </c>
      <c r="E2101" t="s">
        <v>260</v>
      </c>
      <c r="F2101" t="s">
        <v>4595</v>
      </c>
      <c r="G2101" t="str">
        <f>"00502780"</f>
        <v>00502780</v>
      </c>
      <c r="H2101">
        <v>24</v>
      </c>
      <c r="I2101">
        <v>0</v>
      </c>
      <c r="M2101">
        <v>4</v>
      </c>
      <c r="N2101">
        <v>0</v>
      </c>
      <c r="O2101">
        <v>0</v>
      </c>
      <c r="P2101">
        <v>28</v>
      </c>
      <c r="Q2101">
        <v>4</v>
      </c>
      <c r="R2101">
        <v>4</v>
      </c>
      <c r="S2101">
        <v>6</v>
      </c>
      <c r="T2101">
        <v>0</v>
      </c>
      <c r="U2101" s="1">
        <v>0</v>
      </c>
      <c r="V2101">
        <v>38</v>
      </c>
    </row>
    <row r="2102" spans="1:22" ht="15">
      <c r="A2102" s="4">
        <v>2095</v>
      </c>
      <c r="B2102">
        <v>46</v>
      </c>
      <c r="C2102" t="s">
        <v>96</v>
      </c>
      <c r="D2102" t="s">
        <v>193</v>
      </c>
      <c r="E2102" t="s">
        <v>51</v>
      </c>
      <c r="F2102" t="s">
        <v>4596</v>
      </c>
      <c r="G2102" t="str">
        <f>"00441722"</f>
        <v>00441722</v>
      </c>
      <c r="H2102">
        <v>32</v>
      </c>
      <c r="I2102">
        <v>0</v>
      </c>
      <c r="M2102">
        <v>0</v>
      </c>
      <c r="N2102">
        <v>0</v>
      </c>
      <c r="O2102">
        <v>0</v>
      </c>
      <c r="P2102">
        <v>32</v>
      </c>
      <c r="Q2102">
        <v>0</v>
      </c>
      <c r="R2102">
        <v>0</v>
      </c>
      <c r="S2102">
        <v>6</v>
      </c>
      <c r="T2102">
        <v>0</v>
      </c>
      <c r="U2102" s="1">
        <v>0</v>
      </c>
      <c r="V2102">
        <v>38</v>
      </c>
    </row>
    <row r="2103" spans="1:22" ht="15">
      <c r="A2103" s="4">
        <v>2096</v>
      </c>
      <c r="B2103">
        <v>592</v>
      </c>
      <c r="C2103" t="s">
        <v>4597</v>
      </c>
      <c r="D2103" t="s">
        <v>127</v>
      </c>
      <c r="E2103" t="s">
        <v>86</v>
      </c>
      <c r="F2103" t="s">
        <v>4598</v>
      </c>
      <c r="G2103" t="str">
        <f>"201406008741"</f>
        <v>201406008741</v>
      </c>
      <c r="H2103">
        <v>36</v>
      </c>
      <c r="I2103">
        <v>0</v>
      </c>
      <c r="M2103">
        <v>0</v>
      </c>
      <c r="N2103">
        <v>0</v>
      </c>
      <c r="O2103">
        <v>2</v>
      </c>
      <c r="P2103">
        <v>38</v>
      </c>
      <c r="Q2103">
        <v>0</v>
      </c>
      <c r="R2103">
        <v>0</v>
      </c>
      <c r="S2103">
        <v>0</v>
      </c>
      <c r="T2103">
        <v>0</v>
      </c>
      <c r="U2103" s="1" t="s">
        <v>6251</v>
      </c>
      <c r="V2103">
        <v>38</v>
      </c>
    </row>
    <row r="2104" spans="1:22" ht="15">
      <c r="A2104" s="4">
        <v>2097</v>
      </c>
      <c r="B2104">
        <v>2214</v>
      </c>
      <c r="C2104" t="s">
        <v>4599</v>
      </c>
      <c r="D2104" t="s">
        <v>273</v>
      </c>
      <c r="E2104" t="s">
        <v>344</v>
      </c>
      <c r="F2104" t="s">
        <v>4600</v>
      </c>
      <c r="G2104" t="str">
        <f>"00163656"</f>
        <v>00163656</v>
      </c>
      <c r="H2104">
        <v>16</v>
      </c>
      <c r="I2104">
        <v>10</v>
      </c>
      <c r="M2104">
        <v>0</v>
      </c>
      <c r="N2104">
        <v>0</v>
      </c>
      <c r="O2104">
        <v>0</v>
      </c>
      <c r="P2104">
        <v>26</v>
      </c>
      <c r="Q2104">
        <v>6</v>
      </c>
      <c r="R2104">
        <v>6</v>
      </c>
      <c r="S2104">
        <v>6</v>
      </c>
      <c r="T2104">
        <v>0</v>
      </c>
      <c r="U2104" s="1">
        <v>0</v>
      </c>
      <c r="V2104">
        <v>38</v>
      </c>
    </row>
    <row r="2105" spans="1:22" ht="15">
      <c r="A2105" s="4">
        <v>2098</v>
      </c>
      <c r="B2105">
        <v>2302</v>
      </c>
      <c r="C2105" t="s">
        <v>4601</v>
      </c>
      <c r="D2105" t="s">
        <v>121</v>
      </c>
      <c r="E2105" t="s">
        <v>19</v>
      </c>
      <c r="F2105" t="s">
        <v>4602</v>
      </c>
      <c r="G2105" t="str">
        <f>"00533867"</f>
        <v>00533867</v>
      </c>
      <c r="H2105">
        <v>24</v>
      </c>
      <c r="I2105">
        <v>10</v>
      </c>
      <c r="M2105">
        <v>4</v>
      </c>
      <c r="N2105">
        <v>0</v>
      </c>
      <c r="O2105">
        <v>0</v>
      </c>
      <c r="P2105">
        <v>38</v>
      </c>
      <c r="Q2105">
        <v>0</v>
      </c>
      <c r="R2105">
        <v>0</v>
      </c>
      <c r="S2105">
        <v>0</v>
      </c>
      <c r="T2105">
        <v>0</v>
      </c>
      <c r="U2105" s="1">
        <v>0</v>
      </c>
      <c r="V2105">
        <v>38</v>
      </c>
    </row>
    <row r="2106" spans="1:22" ht="15">
      <c r="A2106" s="4">
        <v>2099</v>
      </c>
      <c r="B2106">
        <v>1079</v>
      </c>
      <c r="C2106" t="s">
        <v>4603</v>
      </c>
      <c r="D2106" t="s">
        <v>26</v>
      </c>
      <c r="E2106" t="s">
        <v>11</v>
      </c>
      <c r="F2106" t="s">
        <v>4604</v>
      </c>
      <c r="G2106" t="str">
        <f>"00528713"</f>
        <v>00528713</v>
      </c>
      <c r="H2106">
        <v>28</v>
      </c>
      <c r="I2106">
        <v>0</v>
      </c>
      <c r="M2106">
        <v>4</v>
      </c>
      <c r="N2106">
        <v>0</v>
      </c>
      <c r="O2106">
        <v>0</v>
      </c>
      <c r="P2106">
        <v>32</v>
      </c>
      <c r="Q2106">
        <v>0</v>
      </c>
      <c r="R2106">
        <v>0</v>
      </c>
      <c r="S2106">
        <v>6</v>
      </c>
      <c r="T2106">
        <v>0</v>
      </c>
      <c r="U2106" s="1">
        <v>0</v>
      </c>
      <c r="V2106">
        <v>38</v>
      </c>
    </row>
    <row r="2107" spans="1:22" ht="15">
      <c r="A2107" s="4">
        <v>2100</v>
      </c>
      <c r="B2107">
        <v>68</v>
      </c>
      <c r="C2107" t="s">
        <v>4605</v>
      </c>
      <c r="D2107" t="s">
        <v>14</v>
      </c>
      <c r="E2107" t="s">
        <v>51</v>
      </c>
      <c r="F2107" t="s">
        <v>4606</v>
      </c>
      <c r="G2107" t="str">
        <f>"00516802"</f>
        <v>00516802</v>
      </c>
      <c r="H2107">
        <v>28.88</v>
      </c>
      <c r="I2107">
        <v>0</v>
      </c>
      <c r="M2107">
        <v>0</v>
      </c>
      <c r="N2107">
        <v>0</v>
      </c>
      <c r="O2107">
        <v>0</v>
      </c>
      <c r="P2107">
        <v>28.88</v>
      </c>
      <c r="Q2107">
        <v>6</v>
      </c>
      <c r="R2107">
        <v>6</v>
      </c>
      <c r="S2107">
        <v>3</v>
      </c>
      <c r="T2107">
        <v>0</v>
      </c>
      <c r="U2107" s="1">
        <v>0</v>
      </c>
      <c r="V2107">
        <v>37.88</v>
      </c>
    </row>
    <row r="2108" spans="1:22" ht="15">
      <c r="A2108" s="4">
        <v>2101</v>
      </c>
      <c r="B2108">
        <v>744</v>
      </c>
      <c r="C2108" t="s">
        <v>4607</v>
      </c>
      <c r="D2108" t="s">
        <v>4608</v>
      </c>
      <c r="E2108" t="s">
        <v>344</v>
      </c>
      <c r="F2108" t="s">
        <v>4609</v>
      </c>
      <c r="G2108" t="str">
        <f>"00441565"</f>
        <v>00441565</v>
      </c>
      <c r="H2108">
        <v>28.8</v>
      </c>
      <c r="I2108">
        <v>0</v>
      </c>
      <c r="M2108">
        <v>0</v>
      </c>
      <c r="N2108">
        <v>0</v>
      </c>
      <c r="O2108">
        <v>0</v>
      </c>
      <c r="P2108">
        <v>28.8</v>
      </c>
      <c r="Q2108">
        <v>6</v>
      </c>
      <c r="R2108">
        <v>6</v>
      </c>
      <c r="S2108">
        <v>3</v>
      </c>
      <c r="T2108">
        <v>0</v>
      </c>
      <c r="U2108" s="1">
        <v>0</v>
      </c>
      <c r="V2108">
        <v>37.8</v>
      </c>
    </row>
    <row r="2109" spans="1:22" ht="15">
      <c r="A2109" s="4">
        <v>2102</v>
      </c>
      <c r="B2109">
        <v>1435</v>
      </c>
      <c r="C2109" t="s">
        <v>4527</v>
      </c>
      <c r="D2109" t="s">
        <v>14</v>
      </c>
      <c r="E2109" t="s">
        <v>112</v>
      </c>
      <c r="F2109" t="s">
        <v>4610</v>
      </c>
      <c r="G2109" t="str">
        <f>"00531477"</f>
        <v>00531477</v>
      </c>
      <c r="H2109">
        <v>28.8</v>
      </c>
      <c r="I2109">
        <v>0</v>
      </c>
      <c r="M2109">
        <v>4</v>
      </c>
      <c r="N2109">
        <v>0</v>
      </c>
      <c r="O2109">
        <v>0</v>
      </c>
      <c r="P2109">
        <v>32.8</v>
      </c>
      <c r="Q2109">
        <v>5</v>
      </c>
      <c r="R2109">
        <v>5</v>
      </c>
      <c r="S2109">
        <v>0</v>
      </c>
      <c r="T2109">
        <v>0</v>
      </c>
      <c r="U2109" s="1">
        <v>0</v>
      </c>
      <c r="V2109">
        <v>37.8</v>
      </c>
    </row>
    <row r="2110" spans="1:22" ht="15">
      <c r="A2110" s="4">
        <v>2103</v>
      </c>
      <c r="B2110">
        <v>2921</v>
      </c>
      <c r="C2110" t="s">
        <v>4611</v>
      </c>
      <c r="D2110" t="s">
        <v>621</v>
      </c>
      <c r="E2110" t="s">
        <v>1497</v>
      </c>
      <c r="F2110" t="s">
        <v>4612</v>
      </c>
      <c r="G2110" t="str">
        <f>"00533155"</f>
        <v>00533155</v>
      </c>
      <c r="H2110">
        <v>30.68</v>
      </c>
      <c r="I2110">
        <v>0</v>
      </c>
      <c r="M2110">
        <v>4</v>
      </c>
      <c r="N2110">
        <v>0</v>
      </c>
      <c r="O2110">
        <v>0</v>
      </c>
      <c r="P2110">
        <v>34.68</v>
      </c>
      <c r="Q2110">
        <v>0</v>
      </c>
      <c r="R2110">
        <v>0</v>
      </c>
      <c r="S2110">
        <v>3</v>
      </c>
      <c r="T2110">
        <v>0</v>
      </c>
      <c r="U2110" s="1">
        <v>0</v>
      </c>
      <c r="V2110">
        <v>37.68</v>
      </c>
    </row>
    <row r="2111" spans="1:22" ht="15">
      <c r="A2111" s="4">
        <v>2104</v>
      </c>
      <c r="B2111">
        <v>944</v>
      </c>
      <c r="C2111" t="s">
        <v>4613</v>
      </c>
      <c r="D2111" t="s">
        <v>4614</v>
      </c>
      <c r="E2111" t="s">
        <v>4615</v>
      </c>
      <c r="F2111" t="s">
        <v>4616</v>
      </c>
      <c r="G2111" t="str">
        <f>"201402004284"</f>
        <v>201402004284</v>
      </c>
      <c r="H2111">
        <v>30.68</v>
      </c>
      <c r="I2111">
        <v>0</v>
      </c>
      <c r="M2111">
        <v>4</v>
      </c>
      <c r="N2111">
        <v>0</v>
      </c>
      <c r="O2111">
        <v>0</v>
      </c>
      <c r="P2111">
        <v>34.68</v>
      </c>
      <c r="Q2111">
        <v>0</v>
      </c>
      <c r="R2111">
        <v>0</v>
      </c>
      <c r="S2111">
        <v>3</v>
      </c>
      <c r="T2111">
        <v>0</v>
      </c>
      <c r="U2111" s="1">
        <v>0</v>
      </c>
      <c r="V2111">
        <v>37.68</v>
      </c>
    </row>
    <row r="2112" spans="1:22" ht="15">
      <c r="A2112" s="4">
        <v>2105</v>
      </c>
      <c r="B2112">
        <v>165</v>
      </c>
      <c r="C2112" t="s">
        <v>2469</v>
      </c>
      <c r="D2112" t="s">
        <v>68</v>
      </c>
      <c r="E2112" t="s">
        <v>1180</v>
      </c>
      <c r="F2112" t="s">
        <v>4617</v>
      </c>
      <c r="G2112" t="str">
        <f>"00520170"</f>
        <v>00520170</v>
      </c>
      <c r="H2112">
        <v>34.68</v>
      </c>
      <c r="I2112">
        <v>0</v>
      </c>
      <c r="M2112">
        <v>0</v>
      </c>
      <c r="N2112">
        <v>0</v>
      </c>
      <c r="O2112">
        <v>0</v>
      </c>
      <c r="P2112">
        <v>34.68</v>
      </c>
      <c r="Q2112">
        <v>0</v>
      </c>
      <c r="R2112">
        <v>0</v>
      </c>
      <c r="S2112">
        <v>3</v>
      </c>
      <c r="T2112">
        <v>0</v>
      </c>
      <c r="U2112" s="1">
        <v>0</v>
      </c>
      <c r="V2112">
        <v>37.68</v>
      </c>
    </row>
    <row r="2113" spans="1:22" ht="15">
      <c r="A2113" s="4">
        <v>2106</v>
      </c>
      <c r="B2113">
        <v>302</v>
      </c>
      <c r="C2113" t="s">
        <v>4618</v>
      </c>
      <c r="D2113" t="s">
        <v>4560</v>
      </c>
      <c r="E2113" t="s">
        <v>11</v>
      </c>
      <c r="F2113" t="s">
        <v>4619</v>
      </c>
      <c r="G2113" t="str">
        <f>"00526632"</f>
        <v>00526632</v>
      </c>
      <c r="H2113">
        <v>21.6</v>
      </c>
      <c r="I2113">
        <v>10</v>
      </c>
      <c r="M2113">
        <v>0</v>
      </c>
      <c r="N2113">
        <v>0</v>
      </c>
      <c r="O2113">
        <v>0</v>
      </c>
      <c r="P2113">
        <v>31.6</v>
      </c>
      <c r="Q2113">
        <v>0</v>
      </c>
      <c r="R2113">
        <v>0</v>
      </c>
      <c r="S2113">
        <v>6</v>
      </c>
      <c r="T2113">
        <v>0</v>
      </c>
      <c r="U2113" s="1">
        <v>0</v>
      </c>
      <c r="V2113">
        <v>37.6</v>
      </c>
    </row>
    <row r="2114" spans="1:22" ht="15">
      <c r="A2114" s="4">
        <v>2107</v>
      </c>
      <c r="B2114">
        <v>1088</v>
      </c>
      <c r="C2114" t="s">
        <v>4620</v>
      </c>
      <c r="D2114" t="s">
        <v>14</v>
      </c>
      <c r="E2114" t="s">
        <v>327</v>
      </c>
      <c r="F2114" t="s">
        <v>4621</v>
      </c>
      <c r="G2114" t="str">
        <f>"00527960"</f>
        <v>00527960</v>
      </c>
      <c r="H2114">
        <v>21.6</v>
      </c>
      <c r="I2114">
        <v>0</v>
      </c>
      <c r="L2114">
        <v>4</v>
      </c>
      <c r="M2114">
        <v>4</v>
      </c>
      <c r="N2114">
        <v>4</v>
      </c>
      <c r="O2114">
        <v>2</v>
      </c>
      <c r="P2114">
        <v>31.6</v>
      </c>
      <c r="Q2114">
        <v>0</v>
      </c>
      <c r="R2114">
        <v>0</v>
      </c>
      <c r="S2114">
        <v>6</v>
      </c>
      <c r="T2114">
        <v>0</v>
      </c>
      <c r="U2114" s="1">
        <v>0</v>
      </c>
      <c r="V2114">
        <v>37.6</v>
      </c>
    </row>
    <row r="2115" spans="1:22" ht="15">
      <c r="A2115" s="4">
        <v>2108</v>
      </c>
      <c r="B2115">
        <v>988</v>
      </c>
      <c r="C2115" t="s">
        <v>4622</v>
      </c>
      <c r="D2115" t="s">
        <v>1514</v>
      </c>
      <c r="E2115" t="s">
        <v>30</v>
      </c>
      <c r="F2115" t="s">
        <v>4623</v>
      </c>
      <c r="G2115" t="str">
        <f>"00452765"</f>
        <v>00452765</v>
      </c>
      <c r="H2115">
        <v>34.56</v>
      </c>
      <c r="I2115">
        <v>0</v>
      </c>
      <c r="M2115">
        <v>0</v>
      </c>
      <c r="N2115">
        <v>0</v>
      </c>
      <c r="O2115">
        <v>0</v>
      </c>
      <c r="P2115">
        <v>34.56</v>
      </c>
      <c r="Q2115">
        <v>0</v>
      </c>
      <c r="R2115">
        <v>0</v>
      </c>
      <c r="S2115">
        <v>3</v>
      </c>
      <c r="T2115">
        <v>0</v>
      </c>
      <c r="U2115" s="1">
        <v>0</v>
      </c>
      <c r="V2115">
        <v>37.56</v>
      </c>
    </row>
    <row r="2116" spans="1:22" ht="15">
      <c r="A2116" s="4">
        <v>2109</v>
      </c>
      <c r="B2116">
        <v>1460</v>
      </c>
      <c r="C2116" t="s">
        <v>4624</v>
      </c>
      <c r="D2116" t="s">
        <v>121</v>
      </c>
      <c r="E2116" t="s">
        <v>59</v>
      </c>
      <c r="F2116" t="s">
        <v>4625</v>
      </c>
      <c r="G2116" t="str">
        <f>"00530376"</f>
        <v>00530376</v>
      </c>
      <c r="H2116">
        <v>34.56</v>
      </c>
      <c r="I2116">
        <v>0</v>
      </c>
      <c r="M2116">
        <v>0</v>
      </c>
      <c r="N2116">
        <v>0</v>
      </c>
      <c r="O2116">
        <v>0</v>
      </c>
      <c r="P2116">
        <v>34.56</v>
      </c>
      <c r="Q2116">
        <v>0</v>
      </c>
      <c r="R2116">
        <v>0</v>
      </c>
      <c r="S2116">
        <v>3</v>
      </c>
      <c r="T2116">
        <v>0</v>
      </c>
      <c r="U2116" s="1">
        <v>0</v>
      </c>
      <c r="V2116">
        <v>37.56</v>
      </c>
    </row>
    <row r="2117" spans="1:22" ht="15">
      <c r="A2117" s="4">
        <v>2110</v>
      </c>
      <c r="B2117">
        <v>322</v>
      </c>
      <c r="C2117" t="s">
        <v>4626</v>
      </c>
      <c r="D2117" t="s">
        <v>40</v>
      </c>
      <c r="E2117" t="s">
        <v>51</v>
      </c>
      <c r="F2117" t="s">
        <v>4627</v>
      </c>
      <c r="G2117" t="str">
        <f>"00526858"</f>
        <v>00526858</v>
      </c>
      <c r="H2117">
        <v>33.44</v>
      </c>
      <c r="I2117">
        <v>0</v>
      </c>
      <c r="M2117">
        <v>4</v>
      </c>
      <c r="N2117">
        <v>0</v>
      </c>
      <c r="O2117">
        <v>0</v>
      </c>
      <c r="P2117">
        <v>37.44</v>
      </c>
      <c r="Q2117">
        <v>0</v>
      </c>
      <c r="R2117">
        <v>0</v>
      </c>
      <c r="S2117">
        <v>0</v>
      </c>
      <c r="T2117">
        <v>0</v>
      </c>
      <c r="U2117" s="1">
        <v>0</v>
      </c>
      <c r="V2117">
        <v>37.44</v>
      </c>
    </row>
    <row r="2118" spans="1:22" ht="15">
      <c r="A2118" s="4">
        <v>2111</v>
      </c>
      <c r="B2118">
        <v>2287</v>
      </c>
      <c r="C2118" t="s">
        <v>4628</v>
      </c>
      <c r="D2118" t="s">
        <v>1133</v>
      </c>
      <c r="E2118" t="s">
        <v>51</v>
      </c>
      <c r="F2118" t="s">
        <v>4629</v>
      </c>
      <c r="G2118" t="str">
        <f>"00513349"</f>
        <v>00513349</v>
      </c>
      <c r="H2118">
        <v>31.44</v>
      </c>
      <c r="I2118">
        <v>0</v>
      </c>
      <c r="M2118">
        <v>0</v>
      </c>
      <c r="N2118">
        <v>0</v>
      </c>
      <c r="O2118">
        <v>0</v>
      </c>
      <c r="P2118">
        <v>31.44</v>
      </c>
      <c r="Q2118">
        <v>0</v>
      </c>
      <c r="R2118">
        <v>0</v>
      </c>
      <c r="S2118">
        <v>6</v>
      </c>
      <c r="T2118">
        <v>0</v>
      </c>
      <c r="U2118" s="1">
        <v>0</v>
      </c>
      <c r="V2118">
        <v>37.44</v>
      </c>
    </row>
    <row r="2119" spans="1:22" ht="15">
      <c r="A2119" s="4">
        <v>2112</v>
      </c>
      <c r="B2119">
        <v>1084</v>
      </c>
      <c r="C2119" t="s">
        <v>1017</v>
      </c>
      <c r="D2119" t="s">
        <v>273</v>
      </c>
      <c r="E2119" t="s">
        <v>73</v>
      </c>
      <c r="F2119" t="s">
        <v>4630</v>
      </c>
      <c r="G2119" t="str">
        <f>"00531337"</f>
        <v>00531337</v>
      </c>
      <c r="H2119">
        <v>33.44</v>
      </c>
      <c r="I2119">
        <v>0</v>
      </c>
      <c r="M2119">
        <v>4</v>
      </c>
      <c r="N2119">
        <v>0</v>
      </c>
      <c r="O2119">
        <v>0</v>
      </c>
      <c r="P2119">
        <v>37.44</v>
      </c>
      <c r="Q2119">
        <v>0</v>
      </c>
      <c r="R2119">
        <v>0</v>
      </c>
      <c r="S2119">
        <v>0</v>
      </c>
      <c r="T2119">
        <v>0</v>
      </c>
      <c r="U2119" s="1">
        <v>0</v>
      </c>
      <c r="V2119">
        <v>37.44</v>
      </c>
    </row>
    <row r="2120" spans="1:22" ht="15">
      <c r="A2120" s="4">
        <v>2113</v>
      </c>
      <c r="B2120">
        <v>1792</v>
      </c>
      <c r="C2120" t="s">
        <v>4631</v>
      </c>
      <c r="D2120" t="s">
        <v>4632</v>
      </c>
      <c r="E2120" t="s">
        <v>4633</v>
      </c>
      <c r="F2120" t="s">
        <v>4634</v>
      </c>
      <c r="G2120" t="str">
        <f>"00287441"</f>
        <v>00287441</v>
      </c>
      <c r="H2120">
        <v>27.44</v>
      </c>
      <c r="I2120">
        <v>0</v>
      </c>
      <c r="M2120">
        <v>4</v>
      </c>
      <c r="N2120">
        <v>0</v>
      </c>
      <c r="O2120">
        <v>0</v>
      </c>
      <c r="P2120">
        <v>31.44</v>
      </c>
      <c r="Q2120">
        <v>0</v>
      </c>
      <c r="R2120">
        <v>0</v>
      </c>
      <c r="S2120">
        <v>6</v>
      </c>
      <c r="T2120">
        <v>0</v>
      </c>
      <c r="U2120" s="1">
        <v>0</v>
      </c>
      <c r="V2120">
        <v>37.44</v>
      </c>
    </row>
    <row r="2121" spans="1:22" ht="15">
      <c r="A2121" s="4">
        <v>2114</v>
      </c>
      <c r="B2121">
        <v>2132</v>
      </c>
      <c r="C2121" t="s">
        <v>3190</v>
      </c>
      <c r="D2121" t="s">
        <v>723</v>
      </c>
      <c r="E2121" t="s">
        <v>15</v>
      </c>
      <c r="F2121" t="s">
        <v>4635</v>
      </c>
      <c r="G2121" t="str">
        <f>"00528528"</f>
        <v>00528528</v>
      </c>
      <c r="H2121">
        <v>14.4</v>
      </c>
      <c r="I2121">
        <v>0</v>
      </c>
      <c r="M2121">
        <v>0</v>
      </c>
      <c r="N2121">
        <v>0</v>
      </c>
      <c r="O2121">
        <v>0</v>
      </c>
      <c r="P2121">
        <v>14.4</v>
      </c>
      <c r="Q2121">
        <v>23</v>
      </c>
      <c r="R2121">
        <v>23</v>
      </c>
      <c r="S2121">
        <v>0</v>
      </c>
      <c r="T2121">
        <v>0</v>
      </c>
      <c r="U2121" s="1">
        <v>0</v>
      </c>
      <c r="V2121">
        <v>37.4</v>
      </c>
    </row>
    <row r="2122" spans="1:22" ht="15">
      <c r="A2122" s="4">
        <v>2115</v>
      </c>
      <c r="B2122">
        <v>1452</v>
      </c>
      <c r="C2122" t="s">
        <v>4636</v>
      </c>
      <c r="D2122" t="s">
        <v>76</v>
      </c>
      <c r="E2122" t="s">
        <v>23</v>
      </c>
      <c r="F2122" t="s">
        <v>4637</v>
      </c>
      <c r="G2122" t="str">
        <f>"00532550"</f>
        <v>00532550</v>
      </c>
      <c r="H2122">
        <v>14.4</v>
      </c>
      <c r="I2122">
        <v>0</v>
      </c>
      <c r="L2122">
        <v>4</v>
      </c>
      <c r="M2122">
        <v>4</v>
      </c>
      <c r="N2122">
        <v>4</v>
      </c>
      <c r="O2122">
        <v>0</v>
      </c>
      <c r="P2122">
        <v>22.4</v>
      </c>
      <c r="Q2122">
        <v>6</v>
      </c>
      <c r="R2122">
        <v>6</v>
      </c>
      <c r="S2122">
        <v>9</v>
      </c>
      <c r="T2122">
        <v>0</v>
      </c>
      <c r="U2122" s="1">
        <v>0</v>
      </c>
      <c r="V2122">
        <v>37.4</v>
      </c>
    </row>
    <row r="2123" spans="1:22" ht="15">
      <c r="A2123" s="4">
        <v>2116</v>
      </c>
      <c r="B2123">
        <v>1679</v>
      </c>
      <c r="C2123" t="s">
        <v>4638</v>
      </c>
      <c r="D2123" t="s">
        <v>14</v>
      </c>
      <c r="E2123" t="s">
        <v>23</v>
      </c>
      <c r="F2123" t="s">
        <v>4639</v>
      </c>
      <c r="G2123" t="str">
        <f>"00497738"</f>
        <v>00497738</v>
      </c>
      <c r="H2123">
        <v>30.4</v>
      </c>
      <c r="I2123">
        <v>0</v>
      </c>
      <c r="M2123">
        <v>4</v>
      </c>
      <c r="N2123">
        <v>0</v>
      </c>
      <c r="O2123">
        <v>0</v>
      </c>
      <c r="P2123">
        <v>34.4</v>
      </c>
      <c r="Q2123">
        <v>3</v>
      </c>
      <c r="R2123">
        <v>3</v>
      </c>
      <c r="S2123">
        <v>0</v>
      </c>
      <c r="T2123">
        <v>0</v>
      </c>
      <c r="U2123" s="1">
        <v>0</v>
      </c>
      <c r="V2123">
        <v>37.4</v>
      </c>
    </row>
    <row r="2124" spans="1:22" ht="15">
      <c r="A2124" s="4">
        <v>2117</v>
      </c>
      <c r="B2124">
        <v>3016</v>
      </c>
      <c r="C2124" t="s">
        <v>1633</v>
      </c>
      <c r="D2124" t="s">
        <v>76</v>
      </c>
      <c r="E2124" t="s">
        <v>51</v>
      </c>
      <c r="F2124" t="s">
        <v>4640</v>
      </c>
      <c r="G2124" t="str">
        <f>"201511037070"</f>
        <v>201511037070</v>
      </c>
      <c r="H2124">
        <v>27.4</v>
      </c>
      <c r="I2124">
        <v>0</v>
      </c>
      <c r="M2124">
        <v>4</v>
      </c>
      <c r="N2124">
        <v>0</v>
      </c>
      <c r="O2124">
        <v>0</v>
      </c>
      <c r="P2124">
        <v>31.4</v>
      </c>
      <c r="Q2124">
        <v>0</v>
      </c>
      <c r="R2124">
        <v>0</v>
      </c>
      <c r="S2124">
        <v>6</v>
      </c>
      <c r="T2124">
        <v>0</v>
      </c>
      <c r="U2124" s="1">
        <v>0</v>
      </c>
      <c r="V2124">
        <v>37.4</v>
      </c>
    </row>
    <row r="2125" spans="1:22" ht="15">
      <c r="A2125" s="4">
        <v>2118</v>
      </c>
      <c r="B2125">
        <v>1167</v>
      </c>
      <c r="C2125" t="s">
        <v>4641</v>
      </c>
      <c r="D2125" t="s">
        <v>41</v>
      </c>
      <c r="E2125" t="s">
        <v>364</v>
      </c>
      <c r="F2125" t="s">
        <v>4642</v>
      </c>
      <c r="G2125" t="str">
        <f>"00498953"</f>
        <v>00498953</v>
      </c>
      <c r="H2125">
        <v>14.4</v>
      </c>
      <c r="I2125">
        <v>0</v>
      </c>
      <c r="L2125">
        <v>4</v>
      </c>
      <c r="M2125">
        <v>4</v>
      </c>
      <c r="N2125">
        <v>4</v>
      </c>
      <c r="O2125">
        <v>0</v>
      </c>
      <c r="P2125">
        <v>22.4</v>
      </c>
      <c r="Q2125">
        <v>9</v>
      </c>
      <c r="R2125">
        <v>9</v>
      </c>
      <c r="S2125">
        <v>6</v>
      </c>
      <c r="T2125">
        <v>0</v>
      </c>
      <c r="U2125" s="1">
        <v>0</v>
      </c>
      <c r="V2125">
        <v>37.4</v>
      </c>
    </row>
    <row r="2126" spans="1:22" ht="15">
      <c r="A2126" s="4">
        <v>2119</v>
      </c>
      <c r="B2126">
        <v>1541</v>
      </c>
      <c r="C2126" t="s">
        <v>4643</v>
      </c>
      <c r="D2126" t="s">
        <v>1205</v>
      </c>
      <c r="E2126" t="s">
        <v>41</v>
      </c>
      <c r="F2126" t="s">
        <v>4644</v>
      </c>
      <c r="G2126" t="str">
        <f>"201406007214"</f>
        <v>201406007214</v>
      </c>
      <c r="H2126">
        <v>14.4</v>
      </c>
      <c r="I2126">
        <v>10</v>
      </c>
      <c r="L2126">
        <v>4</v>
      </c>
      <c r="M2126">
        <v>4</v>
      </c>
      <c r="N2126">
        <v>4</v>
      </c>
      <c r="O2126">
        <v>0</v>
      </c>
      <c r="P2126">
        <v>32.4</v>
      </c>
      <c r="Q2126">
        <v>5</v>
      </c>
      <c r="R2126">
        <v>5</v>
      </c>
      <c r="S2126">
        <v>0</v>
      </c>
      <c r="T2126">
        <v>0</v>
      </c>
      <c r="U2126" s="1">
        <v>0</v>
      </c>
      <c r="V2126">
        <v>37.4</v>
      </c>
    </row>
    <row r="2127" spans="1:22" ht="15">
      <c r="A2127" s="4">
        <v>2120</v>
      </c>
      <c r="B2127">
        <v>2615</v>
      </c>
      <c r="C2127" t="s">
        <v>4645</v>
      </c>
      <c r="D2127" t="s">
        <v>121</v>
      </c>
      <c r="E2127" t="s">
        <v>30</v>
      </c>
      <c r="F2127" t="s">
        <v>4646</v>
      </c>
      <c r="G2127" t="str">
        <f>"00484952"</f>
        <v>00484952</v>
      </c>
      <c r="H2127">
        <v>14.4</v>
      </c>
      <c r="I2127">
        <v>0</v>
      </c>
      <c r="M2127">
        <v>4</v>
      </c>
      <c r="N2127">
        <v>0</v>
      </c>
      <c r="O2127">
        <v>2</v>
      </c>
      <c r="P2127">
        <v>20.4</v>
      </c>
      <c r="Q2127">
        <v>17</v>
      </c>
      <c r="R2127">
        <v>17</v>
      </c>
      <c r="S2127">
        <v>0</v>
      </c>
      <c r="T2127">
        <v>0</v>
      </c>
      <c r="U2127" s="1">
        <v>0</v>
      </c>
      <c r="V2127">
        <v>37.4</v>
      </c>
    </row>
    <row r="2128" spans="1:22" ht="15">
      <c r="A2128" s="4">
        <v>2121</v>
      </c>
      <c r="B2128">
        <v>1606</v>
      </c>
      <c r="C2128" t="s">
        <v>1674</v>
      </c>
      <c r="D2128" t="s">
        <v>89</v>
      </c>
      <c r="E2128" t="s">
        <v>90</v>
      </c>
      <c r="F2128" t="s">
        <v>4647</v>
      </c>
      <c r="G2128" t="str">
        <f>"201511041141"</f>
        <v>201511041141</v>
      </c>
      <c r="H2128">
        <v>27.32</v>
      </c>
      <c r="I2128">
        <v>0</v>
      </c>
      <c r="M2128">
        <v>4</v>
      </c>
      <c r="N2128">
        <v>0</v>
      </c>
      <c r="O2128">
        <v>0</v>
      </c>
      <c r="P2128">
        <v>31.32</v>
      </c>
      <c r="Q2128">
        <v>0</v>
      </c>
      <c r="R2128">
        <v>0</v>
      </c>
      <c r="S2128">
        <v>6</v>
      </c>
      <c r="T2128">
        <v>0</v>
      </c>
      <c r="U2128" s="1">
        <v>0</v>
      </c>
      <c r="V2128">
        <v>37.32</v>
      </c>
    </row>
    <row r="2129" spans="1:22" ht="15">
      <c r="A2129" s="4">
        <v>2122</v>
      </c>
      <c r="B2129">
        <v>3431</v>
      </c>
      <c r="C2129" t="s">
        <v>2670</v>
      </c>
      <c r="D2129" t="s">
        <v>14</v>
      </c>
      <c r="E2129" t="s">
        <v>19</v>
      </c>
      <c r="F2129" t="s">
        <v>4648</v>
      </c>
      <c r="G2129" t="str">
        <f>"00533953"</f>
        <v>00533953</v>
      </c>
      <c r="H2129">
        <v>17.32</v>
      </c>
      <c r="I2129">
        <v>10</v>
      </c>
      <c r="M2129">
        <v>4</v>
      </c>
      <c r="N2129">
        <v>0</v>
      </c>
      <c r="O2129">
        <v>0</v>
      </c>
      <c r="P2129">
        <v>31.32</v>
      </c>
      <c r="Q2129">
        <v>0</v>
      </c>
      <c r="R2129">
        <v>0</v>
      </c>
      <c r="S2129">
        <v>6</v>
      </c>
      <c r="T2129">
        <v>0</v>
      </c>
      <c r="U2129" s="1">
        <v>0</v>
      </c>
      <c r="V2129">
        <v>37.32</v>
      </c>
    </row>
    <row r="2130" spans="1:22" ht="15">
      <c r="A2130" s="4">
        <v>2123</v>
      </c>
      <c r="B2130">
        <v>2139</v>
      </c>
      <c r="C2130" t="s">
        <v>4649</v>
      </c>
      <c r="D2130" t="s">
        <v>121</v>
      </c>
      <c r="E2130" t="s">
        <v>4650</v>
      </c>
      <c r="F2130" t="s">
        <v>4651</v>
      </c>
      <c r="G2130" t="str">
        <f>"00246515"</f>
        <v>00246515</v>
      </c>
      <c r="H2130">
        <v>25.32</v>
      </c>
      <c r="I2130">
        <v>0</v>
      </c>
      <c r="M2130">
        <v>4</v>
      </c>
      <c r="N2130">
        <v>0</v>
      </c>
      <c r="O2130">
        <v>0</v>
      </c>
      <c r="P2130">
        <v>29.32</v>
      </c>
      <c r="Q2130">
        <v>8</v>
      </c>
      <c r="R2130">
        <v>8</v>
      </c>
      <c r="S2130">
        <v>0</v>
      </c>
      <c r="T2130">
        <v>0</v>
      </c>
      <c r="U2130" s="1">
        <v>0</v>
      </c>
      <c r="V2130">
        <v>37.32</v>
      </c>
    </row>
    <row r="2131" spans="1:22" ht="15">
      <c r="A2131" s="4">
        <v>2124</v>
      </c>
      <c r="B2131">
        <v>2136</v>
      </c>
      <c r="C2131" t="s">
        <v>4652</v>
      </c>
      <c r="D2131" t="s">
        <v>280</v>
      </c>
      <c r="E2131" t="s">
        <v>47</v>
      </c>
      <c r="F2131" t="s">
        <v>4653</v>
      </c>
      <c r="G2131" t="str">
        <f>"00532293"</f>
        <v>00532293</v>
      </c>
      <c r="H2131">
        <v>29.32</v>
      </c>
      <c r="I2131">
        <v>0</v>
      </c>
      <c r="L2131">
        <v>4</v>
      </c>
      <c r="M2131">
        <v>4</v>
      </c>
      <c r="N2131">
        <v>4</v>
      </c>
      <c r="O2131">
        <v>0</v>
      </c>
      <c r="P2131">
        <v>37.32</v>
      </c>
      <c r="Q2131">
        <v>0</v>
      </c>
      <c r="R2131">
        <v>0</v>
      </c>
      <c r="S2131">
        <v>0</v>
      </c>
      <c r="T2131">
        <v>0</v>
      </c>
      <c r="U2131" s="1">
        <v>0</v>
      </c>
      <c r="V2131">
        <v>37.32</v>
      </c>
    </row>
    <row r="2132" spans="1:22" ht="15">
      <c r="A2132" s="4">
        <v>2125</v>
      </c>
      <c r="B2132">
        <v>1070</v>
      </c>
      <c r="C2132" t="s">
        <v>2670</v>
      </c>
      <c r="D2132" t="s">
        <v>127</v>
      </c>
      <c r="E2132" t="s">
        <v>11</v>
      </c>
      <c r="F2132" t="s">
        <v>4654</v>
      </c>
      <c r="G2132" t="str">
        <f>"00512241"</f>
        <v>00512241</v>
      </c>
      <c r="H2132">
        <v>7.2</v>
      </c>
      <c r="I2132">
        <v>0</v>
      </c>
      <c r="L2132">
        <v>4</v>
      </c>
      <c r="M2132">
        <v>4</v>
      </c>
      <c r="N2132">
        <v>4</v>
      </c>
      <c r="O2132">
        <v>0</v>
      </c>
      <c r="P2132">
        <v>15.2</v>
      </c>
      <c r="Q2132">
        <v>19</v>
      </c>
      <c r="R2132">
        <v>19</v>
      </c>
      <c r="S2132">
        <v>3</v>
      </c>
      <c r="T2132">
        <v>0</v>
      </c>
      <c r="U2132" s="1">
        <v>0</v>
      </c>
      <c r="V2132">
        <v>37.2</v>
      </c>
    </row>
    <row r="2133" spans="1:22" ht="15">
      <c r="A2133" s="4">
        <v>2126</v>
      </c>
      <c r="B2133">
        <v>2239</v>
      </c>
      <c r="C2133" t="s">
        <v>2560</v>
      </c>
      <c r="D2133" t="s">
        <v>36</v>
      </c>
      <c r="E2133" t="s">
        <v>73</v>
      </c>
      <c r="F2133" t="s">
        <v>4655</v>
      </c>
      <c r="G2133" t="str">
        <f>"00480745"</f>
        <v>00480745</v>
      </c>
      <c r="H2133">
        <v>7.2</v>
      </c>
      <c r="I2133">
        <v>10</v>
      </c>
      <c r="M2133">
        <v>0</v>
      </c>
      <c r="N2133">
        <v>0</v>
      </c>
      <c r="O2133">
        <v>0</v>
      </c>
      <c r="P2133">
        <v>17.2</v>
      </c>
      <c r="Q2133">
        <v>20</v>
      </c>
      <c r="R2133">
        <v>20</v>
      </c>
      <c r="S2133">
        <v>0</v>
      </c>
      <c r="T2133">
        <v>0</v>
      </c>
      <c r="U2133" s="1">
        <v>0</v>
      </c>
      <c r="V2133">
        <v>37.2</v>
      </c>
    </row>
    <row r="2134" spans="1:22" ht="15">
      <c r="A2134" s="4">
        <v>2127</v>
      </c>
      <c r="B2134">
        <v>1688</v>
      </c>
      <c r="C2134" t="s">
        <v>4656</v>
      </c>
      <c r="D2134" t="s">
        <v>102</v>
      </c>
      <c r="E2134" t="s">
        <v>295</v>
      </c>
      <c r="F2134" t="s">
        <v>4657</v>
      </c>
      <c r="G2134" t="str">
        <f>"00509608"</f>
        <v>00509608</v>
      </c>
      <c r="H2134">
        <v>31.2</v>
      </c>
      <c r="I2134">
        <v>0</v>
      </c>
      <c r="M2134">
        <v>0</v>
      </c>
      <c r="N2134">
        <v>0</v>
      </c>
      <c r="O2134">
        <v>0</v>
      </c>
      <c r="P2134">
        <v>31.2</v>
      </c>
      <c r="Q2134">
        <v>0</v>
      </c>
      <c r="R2134">
        <v>0</v>
      </c>
      <c r="S2134">
        <v>6</v>
      </c>
      <c r="T2134">
        <v>0</v>
      </c>
      <c r="U2134" s="1">
        <v>0</v>
      </c>
      <c r="V2134">
        <v>37.2</v>
      </c>
    </row>
    <row r="2135" spans="1:22" ht="15">
      <c r="A2135" s="4">
        <v>2128</v>
      </c>
      <c r="B2135">
        <v>45</v>
      </c>
      <c r="C2135" t="s">
        <v>2620</v>
      </c>
      <c r="D2135" t="s">
        <v>89</v>
      </c>
      <c r="E2135" t="s">
        <v>712</v>
      </c>
      <c r="F2135" t="s">
        <v>4658</v>
      </c>
      <c r="G2135" t="str">
        <f>"00118410"</f>
        <v>00118410</v>
      </c>
      <c r="H2135">
        <v>31.16</v>
      </c>
      <c r="I2135">
        <v>0</v>
      </c>
      <c r="M2135">
        <v>0</v>
      </c>
      <c r="N2135">
        <v>0</v>
      </c>
      <c r="O2135">
        <v>0</v>
      </c>
      <c r="P2135">
        <v>31.16</v>
      </c>
      <c r="Q2135">
        <v>0</v>
      </c>
      <c r="R2135">
        <v>0</v>
      </c>
      <c r="S2135">
        <v>6</v>
      </c>
      <c r="T2135">
        <v>0</v>
      </c>
      <c r="U2135" s="1">
        <v>0</v>
      </c>
      <c r="V2135">
        <v>37.16</v>
      </c>
    </row>
    <row r="2136" spans="1:22" ht="15">
      <c r="A2136" s="4">
        <v>2129</v>
      </c>
      <c r="B2136">
        <v>644</v>
      </c>
      <c r="C2136" t="s">
        <v>1088</v>
      </c>
      <c r="D2136" t="s">
        <v>179</v>
      </c>
      <c r="E2136" t="s">
        <v>23</v>
      </c>
      <c r="F2136" t="s">
        <v>4659</v>
      </c>
      <c r="G2136" t="str">
        <f>"00509480"</f>
        <v>00509480</v>
      </c>
      <c r="H2136">
        <v>37.08</v>
      </c>
      <c r="I2136">
        <v>0</v>
      </c>
      <c r="M2136">
        <v>0</v>
      </c>
      <c r="N2136">
        <v>0</v>
      </c>
      <c r="O2136">
        <v>0</v>
      </c>
      <c r="P2136">
        <v>37.08</v>
      </c>
      <c r="Q2136">
        <v>0</v>
      </c>
      <c r="R2136">
        <v>0</v>
      </c>
      <c r="S2136">
        <v>0</v>
      </c>
      <c r="T2136">
        <v>0</v>
      </c>
      <c r="U2136" s="1">
        <v>0</v>
      </c>
      <c r="V2136">
        <v>37.08</v>
      </c>
    </row>
    <row r="2137" spans="1:22" ht="15">
      <c r="A2137" s="4">
        <v>2130</v>
      </c>
      <c r="B2137">
        <v>1480</v>
      </c>
      <c r="C2137" t="s">
        <v>4660</v>
      </c>
      <c r="D2137" t="s">
        <v>4661</v>
      </c>
      <c r="E2137" t="s">
        <v>23</v>
      </c>
      <c r="F2137" t="s">
        <v>4662</v>
      </c>
      <c r="G2137" t="str">
        <f>"200802007935"</f>
        <v>200802007935</v>
      </c>
      <c r="H2137">
        <v>26.92</v>
      </c>
      <c r="I2137">
        <v>0</v>
      </c>
      <c r="M2137">
        <v>4</v>
      </c>
      <c r="N2137">
        <v>0</v>
      </c>
      <c r="O2137">
        <v>0</v>
      </c>
      <c r="P2137">
        <v>30.92</v>
      </c>
      <c r="Q2137">
        <v>0</v>
      </c>
      <c r="R2137">
        <v>0</v>
      </c>
      <c r="S2137">
        <v>6</v>
      </c>
      <c r="T2137">
        <v>0</v>
      </c>
      <c r="U2137" s="1">
        <v>0</v>
      </c>
      <c r="V2137">
        <v>36.92</v>
      </c>
    </row>
    <row r="2138" spans="1:22" ht="15">
      <c r="A2138" s="4">
        <v>2131</v>
      </c>
      <c r="B2138">
        <v>115</v>
      </c>
      <c r="C2138" t="s">
        <v>4663</v>
      </c>
      <c r="D2138" t="s">
        <v>102</v>
      </c>
      <c r="E2138" t="s">
        <v>344</v>
      </c>
      <c r="F2138" t="s">
        <v>4664</v>
      </c>
      <c r="G2138" t="str">
        <f>"00200576"</f>
        <v>00200576</v>
      </c>
      <c r="H2138">
        <v>16.84</v>
      </c>
      <c r="I2138">
        <v>10</v>
      </c>
      <c r="M2138">
        <v>4</v>
      </c>
      <c r="N2138">
        <v>0</v>
      </c>
      <c r="O2138">
        <v>0</v>
      </c>
      <c r="P2138">
        <v>30.84</v>
      </c>
      <c r="Q2138">
        <v>0</v>
      </c>
      <c r="R2138">
        <v>0</v>
      </c>
      <c r="S2138">
        <v>6</v>
      </c>
      <c r="T2138">
        <v>0</v>
      </c>
      <c r="U2138" s="1">
        <v>0</v>
      </c>
      <c r="V2138">
        <v>36.84</v>
      </c>
    </row>
    <row r="2139" spans="1:22" ht="15">
      <c r="A2139" s="4">
        <v>2132</v>
      </c>
      <c r="B2139">
        <v>1723</v>
      </c>
      <c r="C2139" t="s">
        <v>4665</v>
      </c>
      <c r="D2139" t="s">
        <v>640</v>
      </c>
      <c r="E2139" t="s">
        <v>157</v>
      </c>
      <c r="F2139" t="s">
        <v>4666</v>
      </c>
      <c r="G2139" t="str">
        <f>"201412000059"</f>
        <v>201412000059</v>
      </c>
      <c r="H2139">
        <v>28.8</v>
      </c>
      <c r="I2139">
        <v>0</v>
      </c>
      <c r="L2139">
        <v>4</v>
      </c>
      <c r="M2139">
        <v>4</v>
      </c>
      <c r="N2139">
        <v>4</v>
      </c>
      <c r="O2139">
        <v>0</v>
      </c>
      <c r="P2139">
        <v>36.8</v>
      </c>
      <c r="Q2139">
        <v>0</v>
      </c>
      <c r="R2139">
        <v>0</v>
      </c>
      <c r="S2139">
        <v>0</v>
      </c>
      <c r="T2139">
        <v>0</v>
      </c>
      <c r="U2139" s="1">
        <v>0</v>
      </c>
      <c r="V2139">
        <v>36.8</v>
      </c>
    </row>
    <row r="2140" spans="1:22" ht="15">
      <c r="A2140" s="4">
        <v>2133</v>
      </c>
      <c r="B2140">
        <v>1121</v>
      </c>
      <c r="C2140" t="s">
        <v>4667</v>
      </c>
      <c r="D2140" t="s">
        <v>339</v>
      </c>
      <c r="E2140" t="s">
        <v>90</v>
      </c>
      <c r="F2140" t="s">
        <v>4668</v>
      </c>
      <c r="G2140" t="str">
        <f>"00273548"</f>
        <v>00273548</v>
      </c>
      <c r="H2140">
        <v>28.8</v>
      </c>
      <c r="I2140">
        <v>0</v>
      </c>
      <c r="L2140">
        <v>4</v>
      </c>
      <c r="M2140">
        <v>4</v>
      </c>
      <c r="N2140">
        <v>4</v>
      </c>
      <c r="O2140">
        <v>0</v>
      </c>
      <c r="P2140">
        <v>36.8</v>
      </c>
      <c r="Q2140">
        <v>0</v>
      </c>
      <c r="R2140">
        <v>0</v>
      </c>
      <c r="S2140">
        <v>0</v>
      </c>
      <c r="T2140">
        <v>0</v>
      </c>
      <c r="U2140" s="1">
        <v>0</v>
      </c>
      <c r="V2140">
        <v>36.8</v>
      </c>
    </row>
    <row r="2141" spans="1:22" ht="15">
      <c r="A2141" s="4">
        <v>2134</v>
      </c>
      <c r="B2141">
        <v>153</v>
      </c>
      <c r="C2141" t="s">
        <v>4669</v>
      </c>
      <c r="D2141" t="s">
        <v>89</v>
      </c>
      <c r="E2141" t="s">
        <v>11</v>
      </c>
      <c r="F2141" t="s">
        <v>4670</v>
      </c>
      <c r="G2141" t="str">
        <f>"00527123"</f>
        <v>00527123</v>
      </c>
      <c r="H2141">
        <v>28.8</v>
      </c>
      <c r="I2141">
        <v>0</v>
      </c>
      <c r="M2141">
        <v>0</v>
      </c>
      <c r="N2141">
        <v>0</v>
      </c>
      <c r="O2141">
        <v>0</v>
      </c>
      <c r="P2141">
        <v>28.8</v>
      </c>
      <c r="Q2141">
        <v>2</v>
      </c>
      <c r="R2141">
        <v>2</v>
      </c>
      <c r="S2141">
        <v>6</v>
      </c>
      <c r="T2141">
        <v>0</v>
      </c>
      <c r="U2141" s="1">
        <v>0</v>
      </c>
      <c r="V2141">
        <v>36.8</v>
      </c>
    </row>
    <row r="2142" spans="1:22" ht="15">
      <c r="A2142" s="4">
        <v>2135</v>
      </c>
      <c r="B2142">
        <v>460</v>
      </c>
      <c r="C2142" t="s">
        <v>4671</v>
      </c>
      <c r="D2142" t="s">
        <v>72</v>
      </c>
      <c r="E2142" t="s">
        <v>225</v>
      </c>
      <c r="F2142" t="s">
        <v>4672</v>
      </c>
      <c r="G2142" t="str">
        <f>"00481581"</f>
        <v>00481581</v>
      </c>
      <c r="H2142">
        <v>28.8</v>
      </c>
      <c r="I2142">
        <v>0</v>
      </c>
      <c r="L2142">
        <v>4</v>
      </c>
      <c r="M2142">
        <v>4</v>
      </c>
      <c r="N2142">
        <v>4</v>
      </c>
      <c r="O2142">
        <v>0</v>
      </c>
      <c r="P2142">
        <v>36.8</v>
      </c>
      <c r="Q2142">
        <v>0</v>
      </c>
      <c r="R2142">
        <v>0</v>
      </c>
      <c r="S2142">
        <v>0</v>
      </c>
      <c r="T2142">
        <v>0</v>
      </c>
      <c r="U2142" s="1">
        <v>0</v>
      </c>
      <c r="V2142">
        <v>36.8</v>
      </c>
    </row>
    <row r="2143" spans="1:22" ht="15">
      <c r="A2143" s="4">
        <v>2136</v>
      </c>
      <c r="B2143">
        <v>1144</v>
      </c>
      <c r="C2143" t="s">
        <v>2890</v>
      </c>
      <c r="D2143" t="s">
        <v>799</v>
      </c>
      <c r="E2143" t="s">
        <v>1007</v>
      </c>
      <c r="F2143" t="s">
        <v>4673</v>
      </c>
      <c r="G2143" t="str">
        <f>"00459914"</f>
        <v>00459914</v>
      </c>
      <c r="H2143">
        <v>28.8</v>
      </c>
      <c r="I2143">
        <v>0</v>
      </c>
      <c r="L2143">
        <v>4</v>
      </c>
      <c r="M2143">
        <v>4</v>
      </c>
      <c r="N2143">
        <v>4</v>
      </c>
      <c r="O2143">
        <v>0</v>
      </c>
      <c r="P2143">
        <v>36.8</v>
      </c>
      <c r="Q2143">
        <v>0</v>
      </c>
      <c r="R2143">
        <v>0</v>
      </c>
      <c r="S2143">
        <v>0</v>
      </c>
      <c r="T2143">
        <v>0</v>
      </c>
      <c r="U2143" s="1">
        <v>0</v>
      </c>
      <c r="V2143">
        <v>36.8</v>
      </c>
    </row>
    <row r="2144" spans="1:22" ht="15">
      <c r="A2144" s="4">
        <v>2137</v>
      </c>
      <c r="B2144">
        <v>3326</v>
      </c>
      <c r="C2144" t="s">
        <v>4674</v>
      </c>
      <c r="D2144" t="s">
        <v>4675</v>
      </c>
      <c r="E2144" t="s">
        <v>11</v>
      </c>
      <c r="F2144" t="s">
        <v>4676</v>
      </c>
      <c r="G2144" t="str">
        <f>"00533479"</f>
        <v>00533479</v>
      </c>
      <c r="H2144">
        <v>28.8</v>
      </c>
      <c r="I2144">
        <v>0</v>
      </c>
      <c r="L2144">
        <v>4</v>
      </c>
      <c r="M2144">
        <v>4</v>
      </c>
      <c r="N2144">
        <v>4</v>
      </c>
      <c r="O2144">
        <v>0</v>
      </c>
      <c r="P2144">
        <v>36.8</v>
      </c>
      <c r="Q2144">
        <v>0</v>
      </c>
      <c r="R2144">
        <v>0</v>
      </c>
      <c r="S2144">
        <v>0</v>
      </c>
      <c r="T2144">
        <v>0</v>
      </c>
      <c r="U2144" s="1">
        <v>0</v>
      </c>
      <c r="V2144">
        <v>36.8</v>
      </c>
    </row>
    <row r="2145" spans="1:22" ht="15">
      <c r="A2145" s="4">
        <v>2138</v>
      </c>
      <c r="B2145">
        <v>2692</v>
      </c>
      <c r="C2145" t="s">
        <v>4677</v>
      </c>
      <c r="D2145" t="s">
        <v>173</v>
      </c>
      <c r="E2145" t="s">
        <v>11</v>
      </c>
      <c r="F2145" t="s">
        <v>4678</v>
      </c>
      <c r="G2145" t="str">
        <f>"00205585"</f>
        <v>00205585</v>
      </c>
      <c r="H2145">
        <v>28.8</v>
      </c>
      <c r="I2145">
        <v>0</v>
      </c>
      <c r="L2145">
        <v>4</v>
      </c>
      <c r="M2145">
        <v>4</v>
      </c>
      <c r="N2145">
        <v>4</v>
      </c>
      <c r="O2145">
        <v>0</v>
      </c>
      <c r="P2145">
        <v>36.8</v>
      </c>
      <c r="Q2145">
        <v>0</v>
      </c>
      <c r="R2145">
        <v>0</v>
      </c>
      <c r="S2145">
        <v>0</v>
      </c>
      <c r="T2145">
        <v>0</v>
      </c>
      <c r="U2145" s="1">
        <v>0</v>
      </c>
      <c r="V2145">
        <v>36.8</v>
      </c>
    </row>
    <row r="2146" spans="1:22" ht="15">
      <c r="A2146" s="4">
        <v>2139</v>
      </c>
      <c r="B2146">
        <v>76</v>
      </c>
      <c r="C2146" t="s">
        <v>4679</v>
      </c>
      <c r="D2146" t="s">
        <v>14</v>
      </c>
      <c r="E2146" t="s">
        <v>4680</v>
      </c>
      <c r="F2146" t="s">
        <v>4681</v>
      </c>
      <c r="G2146" t="str">
        <f>"00497792"</f>
        <v>00497792</v>
      </c>
      <c r="H2146">
        <v>33.76</v>
      </c>
      <c r="I2146">
        <v>0</v>
      </c>
      <c r="M2146">
        <v>0</v>
      </c>
      <c r="N2146">
        <v>0</v>
      </c>
      <c r="O2146">
        <v>0</v>
      </c>
      <c r="P2146">
        <v>33.76</v>
      </c>
      <c r="Q2146">
        <v>0</v>
      </c>
      <c r="R2146">
        <v>0</v>
      </c>
      <c r="S2146">
        <v>3</v>
      </c>
      <c r="T2146">
        <v>0</v>
      </c>
      <c r="U2146" s="1">
        <v>0</v>
      </c>
      <c r="V2146">
        <v>36.76</v>
      </c>
    </row>
    <row r="2147" spans="1:22" ht="15">
      <c r="A2147" s="4">
        <v>2140</v>
      </c>
      <c r="B2147">
        <v>3381</v>
      </c>
      <c r="C2147" t="s">
        <v>4682</v>
      </c>
      <c r="D2147" t="s">
        <v>160</v>
      </c>
      <c r="E2147" t="s">
        <v>73</v>
      </c>
      <c r="F2147" t="s">
        <v>4683</v>
      </c>
      <c r="G2147" t="str">
        <f>"201510002226"</f>
        <v>201510002226</v>
      </c>
      <c r="H2147">
        <v>25.72</v>
      </c>
      <c r="I2147">
        <v>0</v>
      </c>
      <c r="M2147">
        <v>4</v>
      </c>
      <c r="N2147">
        <v>0</v>
      </c>
      <c r="O2147">
        <v>0</v>
      </c>
      <c r="P2147">
        <v>29.72</v>
      </c>
      <c r="Q2147">
        <v>4</v>
      </c>
      <c r="R2147">
        <v>4</v>
      </c>
      <c r="S2147">
        <v>3</v>
      </c>
      <c r="T2147">
        <v>0</v>
      </c>
      <c r="U2147" s="1">
        <v>0</v>
      </c>
      <c r="V2147">
        <v>36.72</v>
      </c>
    </row>
    <row r="2148" spans="1:22" ht="15">
      <c r="A2148" s="4">
        <v>2141</v>
      </c>
      <c r="B2148">
        <v>3203</v>
      </c>
      <c r="C2148" t="s">
        <v>967</v>
      </c>
      <c r="D2148" t="s">
        <v>14</v>
      </c>
      <c r="E2148" t="s">
        <v>19</v>
      </c>
      <c r="F2148" t="s">
        <v>4684</v>
      </c>
      <c r="G2148" t="str">
        <f>"201410005996"</f>
        <v>201410005996</v>
      </c>
      <c r="H2148">
        <v>29.6</v>
      </c>
      <c r="I2148">
        <v>0</v>
      </c>
      <c r="M2148">
        <v>4</v>
      </c>
      <c r="N2148">
        <v>0</v>
      </c>
      <c r="O2148">
        <v>0</v>
      </c>
      <c r="P2148">
        <v>33.6</v>
      </c>
      <c r="Q2148">
        <v>0</v>
      </c>
      <c r="R2148">
        <v>0</v>
      </c>
      <c r="S2148">
        <v>3</v>
      </c>
      <c r="T2148">
        <v>0</v>
      </c>
      <c r="U2148" s="1">
        <v>0</v>
      </c>
      <c r="V2148">
        <v>36.6</v>
      </c>
    </row>
    <row r="2149" spans="1:22" ht="15">
      <c r="A2149" s="4">
        <v>2142</v>
      </c>
      <c r="B2149">
        <v>1442</v>
      </c>
      <c r="C2149" t="s">
        <v>4685</v>
      </c>
      <c r="D2149" t="s">
        <v>4686</v>
      </c>
      <c r="E2149" t="s">
        <v>4687</v>
      </c>
      <c r="F2149" t="s">
        <v>4688</v>
      </c>
      <c r="G2149" t="str">
        <f>"00485818"</f>
        <v>00485818</v>
      </c>
      <c r="H2149">
        <v>21.6</v>
      </c>
      <c r="I2149">
        <v>0</v>
      </c>
      <c r="L2149">
        <v>4</v>
      </c>
      <c r="M2149">
        <v>4</v>
      </c>
      <c r="N2149">
        <v>4</v>
      </c>
      <c r="O2149">
        <v>0</v>
      </c>
      <c r="P2149">
        <v>29.6</v>
      </c>
      <c r="Q2149">
        <v>4</v>
      </c>
      <c r="R2149">
        <v>4</v>
      </c>
      <c r="S2149">
        <v>3</v>
      </c>
      <c r="T2149">
        <v>0</v>
      </c>
      <c r="U2149" s="1">
        <v>0</v>
      </c>
      <c r="V2149">
        <v>36.6</v>
      </c>
    </row>
    <row r="2150" spans="1:22" ht="15">
      <c r="A2150" s="4">
        <v>2143</v>
      </c>
      <c r="B2150">
        <v>2715</v>
      </c>
      <c r="C2150" t="s">
        <v>4689</v>
      </c>
      <c r="D2150" t="s">
        <v>222</v>
      </c>
      <c r="E2150" t="s">
        <v>19</v>
      </c>
      <c r="F2150" t="s">
        <v>4690</v>
      </c>
      <c r="G2150" t="str">
        <f>"00223558"</f>
        <v>00223558</v>
      </c>
      <c r="H2150">
        <v>21.6</v>
      </c>
      <c r="I2150">
        <v>0</v>
      </c>
      <c r="K2150">
        <v>6</v>
      </c>
      <c r="M2150">
        <v>4</v>
      </c>
      <c r="N2150">
        <v>6</v>
      </c>
      <c r="O2150">
        <v>2</v>
      </c>
      <c r="P2150">
        <v>33.6</v>
      </c>
      <c r="Q2150">
        <v>0</v>
      </c>
      <c r="R2150">
        <v>0</v>
      </c>
      <c r="S2150">
        <v>3</v>
      </c>
      <c r="T2150">
        <v>0</v>
      </c>
      <c r="U2150" s="1">
        <v>0</v>
      </c>
      <c r="V2150">
        <v>36.6</v>
      </c>
    </row>
    <row r="2151" spans="1:22" ht="15">
      <c r="A2151" s="4">
        <v>2144</v>
      </c>
      <c r="B2151">
        <v>2903</v>
      </c>
      <c r="C2151" t="s">
        <v>4691</v>
      </c>
      <c r="D2151" t="s">
        <v>89</v>
      </c>
      <c r="E2151" t="s">
        <v>197</v>
      </c>
      <c r="F2151" t="s">
        <v>4692</v>
      </c>
      <c r="G2151" t="str">
        <f>"00532751"</f>
        <v>00532751</v>
      </c>
      <c r="H2151">
        <v>26.56</v>
      </c>
      <c r="I2151">
        <v>0</v>
      </c>
      <c r="M2151">
        <v>4</v>
      </c>
      <c r="N2151">
        <v>0</v>
      </c>
      <c r="O2151">
        <v>0</v>
      </c>
      <c r="P2151">
        <v>30.56</v>
      </c>
      <c r="Q2151">
        <v>0</v>
      </c>
      <c r="R2151">
        <v>0</v>
      </c>
      <c r="S2151">
        <v>6</v>
      </c>
      <c r="T2151">
        <v>0</v>
      </c>
      <c r="U2151" s="1">
        <v>0</v>
      </c>
      <c r="V2151">
        <v>36.56</v>
      </c>
    </row>
    <row r="2152" spans="1:22" ht="15">
      <c r="A2152" s="4">
        <v>2145</v>
      </c>
      <c r="B2152">
        <v>3173</v>
      </c>
      <c r="C2152" t="s">
        <v>4693</v>
      </c>
      <c r="D2152" t="s">
        <v>958</v>
      </c>
      <c r="E2152" t="s">
        <v>19</v>
      </c>
      <c r="F2152" t="s">
        <v>4694</v>
      </c>
      <c r="G2152" t="str">
        <f>"00531792"</f>
        <v>00531792</v>
      </c>
      <c r="H2152">
        <v>26.56</v>
      </c>
      <c r="I2152">
        <v>0</v>
      </c>
      <c r="L2152">
        <v>4</v>
      </c>
      <c r="M2152">
        <v>4</v>
      </c>
      <c r="N2152">
        <v>4</v>
      </c>
      <c r="O2152">
        <v>2</v>
      </c>
      <c r="P2152">
        <v>36.56</v>
      </c>
      <c r="Q2152">
        <v>0</v>
      </c>
      <c r="R2152">
        <v>0</v>
      </c>
      <c r="S2152">
        <v>0</v>
      </c>
      <c r="T2152">
        <v>0</v>
      </c>
      <c r="U2152" s="1">
        <v>0</v>
      </c>
      <c r="V2152">
        <v>36.56</v>
      </c>
    </row>
    <row r="2153" spans="1:22" ht="15">
      <c r="A2153" s="4">
        <v>2146</v>
      </c>
      <c r="B2153">
        <v>1869</v>
      </c>
      <c r="C2153" t="s">
        <v>1176</v>
      </c>
      <c r="D2153" t="s">
        <v>4542</v>
      </c>
      <c r="E2153" t="s">
        <v>157</v>
      </c>
      <c r="F2153" t="s">
        <v>4695</v>
      </c>
      <c r="G2153" t="str">
        <f>"00105649"</f>
        <v>00105649</v>
      </c>
      <c r="H2153">
        <v>36.56</v>
      </c>
      <c r="I2153">
        <v>0</v>
      </c>
      <c r="M2153">
        <v>0</v>
      </c>
      <c r="N2153">
        <v>0</v>
      </c>
      <c r="O2153">
        <v>0</v>
      </c>
      <c r="P2153">
        <v>36.56</v>
      </c>
      <c r="Q2153">
        <v>0</v>
      </c>
      <c r="R2153">
        <v>0</v>
      </c>
      <c r="S2153">
        <v>0</v>
      </c>
      <c r="T2153">
        <v>0</v>
      </c>
      <c r="U2153" s="1">
        <v>0</v>
      </c>
      <c r="V2153">
        <v>36.56</v>
      </c>
    </row>
    <row r="2154" spans="1:22" ht="15">
      <c r="A2154" s="4">
        <v>2147</v>
      </c>
      <c r="B2154">
        <v>1202</v>
      </c>
      <c r="C2154" t="s">
        <v>96</v>
      </c>
      <c r="D2154" t="s">
        <v>82</v>
      </c>
      <c r="E2154" t="s">
        <v>1741</v>
      </c>
      <c r="F2154" t="s">
        <v>4696</v>
      </c>
      <c r="G2154" t="str">
        <f>"00519080"</f>
        <v>00519080</v>
      </c>
      <c r="H2154">
        <v>36.52</v>
      </c>
      <c r="I2154">
        <v>0</v>
      </c>
      <c r="M2154">
        <v>0</v>
      </c>
      <c r="N2154">
        <v>0</v>
      </c>
      <c r="O2154">
        <v>0</v>
      </c>
      <c r="P2154">
        <v>36.52</v>
      </c>
      <c r="Q2154">
        <v>0</v>
      </c>
      <c r="R2154">
        <v>0</v>
      </c>
      <c r="S2154">
        <v>0</v>
      </c>
      <c r="T2154">
        <v>0</v>
      </c>
      <c r="U2154" s="1">
        <v>0</v>
      </c>
      <c r="V2154">
        <v>36.52</v>
      </c>
    </row>
    <row r="2155" spans="1:22" ht="15">
      <c r="A2155" s="4">
        <v>2148</v>
      </c>
      <c r="B2155">
        <v>1983</v>
      </c>
      <c r="C2155" t="s">
        <v>4697</v>
      </c>
      <c r="D2155" t="s">
        <v>73</v>
      </c>
      <c r="E2155" t="s">
        <v>19</v>
      </c>
      <c r="F2155" t="s">
        <v>4698</v>
      </c>
      <c r="G2155" t="str">
        <f>"00528992"</f>
        <v>00528992</v>
      </c>
      <c r="H2155">
        <v>32.44</v>
      </c>
      <c r="I2155">
        <v>0</v>
      </c>
      <c r="M2155">
        <v>4</v>
      </c>
      <c r="N2155">
        <v>0</v>
      </c>
      <c r="O2155">
        <v>0</v>
      </c>
      <c r="P2155">
        <v>36.44</v>
      </c>
      <c r="Q2155">
        <v>0</v>
      </c>
      <c r="R2155">
        <v>0</v>
      </c>
      <c r="S2155">
        <v>0</v>
      </c>
      <c r="T2155">
        <v>0</v>
      </c>
      <c r="U2155" s="1">
        <v>0</v>
      </c>
      <c r="V2155">
        <v>36.44</v>
      </c>
    </row>
    <row r="2156" spans="1:22" ht="15">
      <c r="A2156" s="4">
        <v>2149</v>
      </c>
      <c r="B2156">
        <v>1893</v>
      </c>
      <c r="C2156" t="s">
        <v>4699</v>
      </c>
      <c r="D2156" t="s">
        <v>958</v>
      </c>
      <c r="E2156" t="s">
        <v>242</v>
      </c>
      <c r="F2156" t="s">
        <v>4700</v>
      </c>
      <c r="G2156" t="str">
        <f>"00508675"</f>
        <v>00508675</v>
      </c>
      <c r="H2156">
        <v>36.4</v>
      </c>
      <c r="I2156">
        <v>0</v>
      </c>
      <c r="M2156">
        <v>0</v>
      </c>
      <c r="N2156">
        <v>0</v>
      </c>
      <c r="O2156">
        <v>0</v>
      </c>
      <c r="P2156">
        <v>36.4</v>
      </c>
      <c r="Q2156">
        <v>0</v>
      </c>
      <c r="R2156">
        <v>0</v>
      </c>
      <c r="S2156">
        <v>0</v>
      </c>
      <c r="T2156">
        <v>0</v>
      </c>
      <c r="U2156" s="1">
        <v>0</v>
      </c>
      <c r="V2156">
        <v>36.4</v>
      </c>
    </row>
    <row r="2157" spans="1:22" ht="15">
      <c r="A2157" s="4">
        <v>2150</v>
      </c>
      <c r="B2157">
        <v>1329</v>
      </c>
      <c r="C2157" t="s">
        <v>4701</v>
      </c>
      <c r="D2157" t="s">
        <v>170</v>
      </c>
      <c r="E2157" t="s">
        <v>23</v>
      </c>
      <c r="F2157" t="s">
        <v>4702</v>
      </c>
      <c r="G2157" t="str">
        <f>"00327938"</f>
        <v>00327938</v>
      </c>
      <c r="H2157">
        <v>32.4</v>
      </c>
      <c r="I2157">
        <v>0</v>
      </c>
      <c r="M2157">
        <v>4</v>
      </c>
      <c r="N2157">
        <v>0</v>
      </c>
      <c r="O2157">
        <v>0</v>
      </c>
      <c r="P2157">
        <v>36.4</v>
      </c>
      <c r="Q2157">
        <v>0</v>
      </c>
      <c r="R2157">
        <v>0</v>
      </c>
      <c r="S2157">
        <v>0</v>
      </c>
      <c r="T2157">
        <v>0</v>
      </c>
      <c r="U2157" s="1">
        <v>0</v>
      </c>
      <c r="V2157">
        <v>36.4</v>
      </c>
    </row>
    <row r="2158" spans="1:22" ht="15">
      <c r="A2158" s="4">
        <v>2151</v>
      </c>
      <c r="B2158">
        <v>3421</v>
      </c>
      <c r="C2158" t="s">
        <v>2502</v>
      </c>
      <c r="D2158" t="s">
        <v>1202</v>
      </c>
      <c r="E2158" t="s">
        <v>1335</v>
      </c>
      <c r="F2158" t="s">
        <v>4703</v>
      </c>
      <c r="G2158" t="str">
        <f>"00533726"</f>
        <v>00533726</v>
      </c>
      <c r="H2158">
        <v>32.4</v>
      </c>
      <c r="I2158">
        <v>0</v>
      </c>
      <c r="M2158">
        <v>4</v>
      </c>
      <c r="N2158">
        <v>0</v>
      </c>
      <c r="O2158">
        <v>0</v>
      </c>
      <c r="P2158">
        <v>36.4</v>
      </c>
      <c r="Q2158">
        <v>0</v>
      </c>
      <c r="R2158">
        <v>0</v>
      </c>
      <c r="S2158">
        <v>0</v>
      </c>
      <c r="T2158">
        <v>0</v>
      </c>
      <c r="U2158" s="1">
        <v>0</v>
      </c>
      <c r="V2158">
        <v>36.4</v>
      </c>
    </row>
    <row r="2159" spans="1:22" ht="15">
      <c r="A2159" s="4">
        <v>2152</v>
      </c>
      <c r="B2159">
        <v>1447</v>
      </c>
      <c r="C2159" t="s">
        <v>4704</v>
      </c>
      <c r="D2159" t="s">
        <v>40</v>
      </c>
      <c r="E2159" t="s">
        <v>675</v>
      </c>
      <c r="F2159" t="s">
        <v>4705</v>
      </c>
      <c r="G2159" t="str">
        <f>"00511908"</f>
        <v>00511908</v>
      </c>
      <c r="H2159">
        <v>32.36</v>
      </c>
      <c r="I2159">
        <v>0</v>
      </c>
      <c r="M2159">
        <v>4</v>
      </c>
      <c r="N2159">
        <v>0</v>
      </c>
      <c r="O2159">
        <v>0</v>
      </c>
      <c r="P2159">
        <v>36.36</v>
      </c>
      <c r="Q2159">
        <v>0</v>
      </c>
      <c r="R2159">
        <v>0</v>
      </c>
      <c r="S2159">
        <v>0</v>
      </c>
      <c r="T2159">
        <v>0</v>
      </c>
      <c r="U2159" s="1">
        <v>0</v>
      </c>
      <c r="V2159">
        <v>36.36</v>
      </c>
    </row>
    <row r="2160" spans="1:22" ht="15">
      <c r="A2160" s="4">
        <v>2153</v>
      </c>
      <c r="B2160">
        <v>1015</v>
      </c>
      <c r="C2160" t="s">
        <v>413</v>
      </c>
      <c r="D2160" t="s">
        <v>50</v>
      </c>
      <c r="E2160" t="s">
        <v>73</v>
      </c>
      <c r="F2160" t="s">
        <v>4706</v>
      </c>
      <c r="G2160" t="str">
        <f>"00530140"</f>
        <v>00530140</v>
      </c>
      <c r="H2160">
        <v>20.32</v>
      </c>
      <c r="I2160">
        <v>0</v>
      </c>
      <c r="M2160">
        <v>0</v>
      </c>
      <c r="N2160">
        <v>0</v>
      </c>
      <c r="O2160">
        <v>0</v>
      </c>
      <c r="P2160">
        <v>20.32</v>
      </c>
      <c r="Q2160">
        <v>16</v>
      </c>
      <c r="R2160">
        <v>16</v>
      </c>
      <c r="S2160">
        <v>0</v>
      </c>
      <c r="T2160">
        <v>0</v>
      </c>
      <c r="U2160" s="1">
        <v>0</v>
      </c>
      <c r="V2160">
        <v>36.32</v>
      </c>
    </row>
    <row r="2161" spans="1:22" ht="15">
      <c r="A2161" s="4">
        <v>2154</v>
      </c>
      <c r="B2161">
        <v>105</v>
      </c>
      <c r="C2161" t="s">
        <v>4707</v>
      </c>
      <c r="D2161" t="s">
        <v>978</v>
      </c>
      <c r="E2161" t="s">
        <v>344</v>
      </c>
      <c r="F2161" t="s">
        <v>4708</v>
      </c>
      <c r="G2161" t="str">
        <f>"00526730"</f>
        <v>00526730</v>
      </c>
      <c r="H2161">
        <v>28.3</v>
      </c>
      <c r="I2161">
        <v>0</v>
      </c>
      <c r="L2161">
        <v>4</v>
      </c>
      <c r="M2161">
        <v>4</v>
      </c>
      <c r="N2161">
        <v>4</v>
      </c>
      <c r="O2161">
        <v>0</v>
      </c>
      <c r="P2161">
        <v>36.3</v>
      </c>
      <c r="Q2161">
        <v>0</v>
      </c>
      <c r="R2161">
        <v>0</v>
      </c>
      <c r="S2161">
        <v>0</v>
      </c>
      <c r="T2161">
        <v>0</v>
      </c>
      <c r="U2161" s="1">
        <v>0</v>
      </c>
      <c r="V2161">
        <v>36.3</v>
      </c>
    </row>
    <row r="2162" spans="1:22" ht="15">
      <c r="A2162" s="4">
        <v>2155</v>
      </c>
      <c r="B2162">
        <v>2579</v>
      </c>
      <c r="C2162" t="s">
        <v>4709</v>
      </c>
      <c r="D2162" t="s">
        <v>76</v>
      </c>
      <c r="E2162" t="s">
        <v>1425</v>
      </c>
      <c r="F2162" t="s">
        <v>4710</v>
      </c>
      <c r="G2162" t="str">
        <f>"00516512"</f>
        <v>00516512</v>
      </c>
      <c r="H2162">
        <v>26.2</v>
      </c>
      <c r="I2162">
        <v>0</v>
      </c>
      <c r="M2162">
        <v>4</v>
      </c>
      <c r="N2162">
        <v>0</v>
      </c>
      <c r="O2162">
        <v>0</v>
      </c>
      <c r="P2162">
        <v>30.2</v>
      </c>
      <c r="Q2162">
        <v>3</v>
      </c>
      <c r="R2162">
        <v>3</v>
      </c>
      <c r="S2162">
        <v>3</v>
      </c>
      <c r="T2162">
        <v>0</v>
      </c>
      <c r="U2162" s="1">
        <v>0</v>
      </c>
      <c r="V2162">
        <v>36.2</v>
      </c>
    </row>
    <row r="2163" spans="1:22" ht="15">
      <c r="A2163" s="4">
        <v>2156</v>
      </c>
      <c r="B2163">
        <v>1936</v>
      </c>
      <c r="C2163" t="s">
        <v>309</v>
      </c>
      <c r="D2163" t="s">
        <v>4711</v>
      </c>
      <c r="E2163" t="s">
        <v>90</v>
      </c>
      <c r="F2163" t="s">
        <v>4712</v>
      </c>
      <c r="G2163" t="str">
        <f>"00492404"</f>
        <v>00492404</v>
      </c>
      <c r="H2163">
        <v>7.2</v>
      </c>
      <c r="I2163">
        <v>0</v>
      </c>
      <c r="L2163">
        <v>4</v>
      </c>
      <c r="M2163">
        <v>4</v>
      </c>
      <c r="N2163">
        <v>4</v>
      </c>
      <c r="O2163">
        <v>0</v>
      </c>
      <c r="P2163">
        <v>15.2</v>
      </c>
      <c r="Q2163">
        <v>21</v>
      </c>
      <c r="R2163">
        <v>21</v>
      </c>
      <c r="S2163">
        <v>0</v>
      </c>
      <c r="T2163">
        <v>0</v>
      </c>
      <c r="U2163" s="1">
        <v>0</v>
      </c>
      <c r="V2163">
        <v>36.2</v>
      </c>
    </row>
    <row r="2164" spans="1:22" ht="15">
      <c r="A2164" s="4">
        <v>2157</v>
      </c>
      <c r="B2164">
        <v>2542</v>
      </c>
      <c r="C2164" t="s">
        <v>4713</v>
      </c>
      <c r="D2164" t="s">
        <v>4714</v>
      </c>
      <c r="E2164" t="s">
        <v>41</v>
      </c>
      <c r="F2164" t="s">
        <v>4715</v>
      </c>
      <c r="G2164" t="str">
        <f>"00533645"</f>
        <v>00533645</v>
      </c>
      <c r="H2164">
        <v>17.2</v>
      </c>
      <c r="I2164">
        <v>10</v>
      </c>
      <c r="M2164">
        <v>0</v>
      </c>
      <c r="N2164">
        <v>0</v>
      </c>
      <c r="O2164">
        <v>0</v>
      </c>
      <c r="P2164">
        <v>27.2</v>
      </c>
      <c r="Q2164">
        <v>9</v>
      </c>
      <c r="R2164">
        <v>9</v>
      </c>
      <c r="S2164">
        <v>0</v>
      </c>
      <c r="T2164">
        <v>0</v>
      </c>
      <c r="U2164" s="1">
        <v>0</v>
      </c>
      <c r="V2164">
        <v>36.2</v>
      </c>
    </row>
    <row r="2165" spans="1:22" ht="15">
      <c r="A2165" s="4">
        <v>2158</v>
      </c>
      <c r="B2165">
        <v>1308</v>
      </c>
      <c r="C2165" t="s">
        <v>4716</v>
      </c>
      <c r="D2165" t="s">
        <v>357</v>
      </c>
      <c r="E2165" t="s">
        <v>73</v>
      </c>
      <c r="F2165" t="s">
        <v>4717</v>
      </c>
      <c r="G2165" t="str">
        <f>"00161792"</f>
        <v>00161792</v>
      </c>
      <c r="H2165">
        <v>7.2</v>
      </c>
      <c r="I2165">
        <v>10</v>
      </c>
      <c r="L2165">
        <v>4</v>
      </c>
      <c r="M2165">
        <v>4</v>
      </c>
      <c r="N2165">
        <v>4</v>
      </c>
      <c r="O2165">
        <v>0</v>
      </c>
      <c r="P2165">
        <v>25.2</v>
      </c>
      <c r="Q2165">
        <v>11</v>
      </c>
      <c r="R2165">
        <v>11</v>
      </c>
      <c r="S2165">
        <v>0</v>
      </c>
      <c r="T2165">
        <v>0</v>
      </c>
      <c r="U2165" s="1">
        <v>0</v>
      </c>
      <c r="V2165">
        <v>36.2</v>
      </c>
    </row>
    <row r="2166" spans="1:22" ht="15">
      <c r="A2166" s="4">
        <v>2159</v>
      </c>
      <c r="B2166">
        <v>3105</v>
      </c>
      <c r="C2166" t="s">
        <v>4718</v>
      </c>
      <c r="D2166" t="s">
        <v>179</v>
      </c>
      <c r="E2166" t="s">
        <v>94</v>
      </c>
      <c r="F2166" t="s">
        <v>4719</v>
      </c>
      <c r="G2166" t="str">
        <f>"00400892"</f>
        <v>00400892</v>
      </c>
      <c r="H2166">
        <v>34.16</v>
      </c>
      <c r="I2166">
        <v>0</v>
      </c>
      <c r="M2166">
        <v>0</v>
      </c>
      <c r="N2166">
        <v>0</v>
      </c>
      <c r="O2166">
        <v>2</v>
      </c>
      <c r="P2166">
        <v>36.16</v>
      </c>
      <c r="Q2166">
        <v>0</v>
      </c>
      <c r="R2166">
        <v>0</v>
      </c>
      <c r="S2166">
        <v>0</v>
      </c>
      <c r="T2166">
        <v>0</v>
      </c>
      <c r="U2166" s="1">
        <v>0</v>
      </c>
      <c r="V2166">
        <v>36.16</v>
      </c>
    </row>
    <row r="2167" spans="1:22" ht="15">
      <c r="A2167" s="4">
        <v>2160</v>
      </c>
      <c r="B2167">
        <v>3389</v>
      </c>
      <c r="C2167" t="s">
        <v>4720</v>
      </c>
      <c r="D2167" t="s">
        <v>127</v>
      </c>
      <c r="E2167" t="s">
        <v>73</v>
      </c>
      <c r="F2167" t="s">
        <v>4721</v>
      </c>
      <c r="G2167" t="str">
        <f>"00501995"</f>
        <v>00501995</v>
      </c>
      <c r="H2167">
        <v>22.12</v>
      </c>
      <c r="I2167">
        <v>10</v>
      </c>
      <c r="M2167">
        <v>4</v>
      </c>
      <c r="N2167">
        <v>0</v>
      </c>
      <c r="O2167">
        <v>0</v>
      </c>
      <c r="P2167">
        <v>36.12</v>
      </c>
      <c r="Q2167">
        <v>0</v>
      </c>
      <c r="R2167">
        <v>0</v>
      </c>
      <c r="S2167">
        <v>0</v>
      </c>
      <c r="T2167">
        <v>0</v>
      </c>
      <c r="U2167" s="1">
        <v>0</v>
      </c>
      <c r="V2167">
        <v>36.12</v>
      </c>
    </row>
    <row r="2168" spans="1:22" ht="15">
      <c r="A2168" s="4">
        <v>2161</v>
      </c>
      <c r="B2168">
        <v>646</v>
      </c>
      <c r="C2168" t="s">
        <v>4722</v>
      </c>
      <c r="D2168" t="s">
        <v>211</v>
      </c>
      <c r="E2168" t="s">
        <v>4723</v>
      </c>
      <c r="F2168" t="s">
        <v>4724</v>
      </c>
      <c r="G2168" t="str">
        <f>"00530739"</f>
        <v>00530739</v>
      </c>
      <c r="H2168">
        <v>36</v>
      </c>
      <c r="I2168">
        <v>0</v>
      </c>
      <c r="M2168">
        <v>0</v>
      </c>
      <c r="N2168">
        <v>0</v>
      </c>
      <c r="O2168">
        <v>0</v>
      </c>
      <c r="P2168">
        <v>36</v>
      </c>
      <c r="Q2168">
        <v>0</v>
      </c>
      <c r="R2168">
        <v>0</v>
      </c>
      <c r="S2168">
        <v>0</v>
      </c>
      <c r="T2168">
        <v>0</v>
      </c>
      <c r="U2168" s="1">
        <v>0</v>
      </c>
      <c r="V2168">
        <v>36</v>
      </c>
    </row>
    <row r="2169" spans="1:22" ht="15">
      <c r="A2169" s="4">
        <v>2162</v>
      </c>
      <c r="B2169">
        <v>188</v>
      </c>
      <c r="C2169" t="s">
        <v>1883</v>
      </c>
      <c r="D2169" t="s">
        <v>76</v>
      </c>
      <c r="E2169" t="s">
        <v>11</v>
      </c>
      <c r="F2169" t="s">
        <v>4725</v>
      </c>
      <c r="G2169" t="str">
        <f>"00531742"</f>
        <v>00531742</v>
      </c>
      <c r="H2169">
        <v>36</v>
      </c>
      <c r="I2169">
        <v>0</v>
      </c>
      <c r="M2169">
        <v>0</v>
      </c>
      <c r="N2169">
        <v>0</v>
      </c>
      <c r="O2169">
        <v>0</v>
      </c>
      <c r="P2169">
        <v>36</v>
      </c>
      <c r="Q2169">
        <v>0</v>
      </c>
      <c r="R2169">
        <v>0</v>
      </c>
      <c r="S2169">
        <v>0</v>
      </c>
      <c r="T2169">
        <v>0</v>
      </c>
      <c r="U2169" s="1">
        <v>0</v>
      </c>
      <c r="V2169">
        <v>36</v>
      </c>
    </row>
    <row r="2170" spans="1:22" ht="15">
      <c r="A2170" s="4">
        <v>2163</v>
      </c>
      <c r="B2170">
        <v>2105</v>
      </c>
      <c r="C2170" t="s">
        <v>4726</v>
      </c>
      <c r="D2170" t="s">
        <v>4727</v>
      </c>
      <c r="E2170" t="s">
        <v>112</v>
      </c>
      <c r="F2170" t="s">
        <v>4728</v>
      </c>
      <c r="G2170" t="str">
        <f>"201511025856"</f>
        <v>201511025856</v>
      </c>
      <c r="H2170">
        <v>32</v>
      </c>
      <c r="I2170">
        <v>0</v>
      </c>
      <c r="L2170">
        <v>4</v>
      </c>
      <c r="M2170">
        <v>0</v>
      </c>
      <c r="N2170">
        <v>4</v>
      </c>
      <c r="O2170">
        <v>0</v>
      </c>
      <c r="P2170">
        <v>36</v>
      </c>
      <c r="Q2170">
        <v>0</v>
      </c>
      <c r="R2170">
        <v>0</v>
      </c>
      <c r="S2170">
        <v>0</v>
      </c>
      <c r="T2170">
        <v>0</v>
      </c>
      <c r="U2170" s="1">
        <v>0</v>
      </c>
      <c r="V2170">
        <v>36</v>
      </c>
    </row>
    <row r="2171" spans="1:22" ht="15">
      <c r="A2171" s="4">
        <v>2164</v>
      </c>
      <c r="B2171">
        <v>1225</v>
      </c>
      <c r="C2171" t="s">
        <v>4729</v>
      </c>
      <c r="D2171" t="s">
        <v>26</v>
      </c>
      <c r="E2171" t="s">
        <v>90</v>
      </c>
      <c r="F2171" t="s">
        <v>4730</v>
      </c>
      <c r="G2171" t="str">
        <f>"00530826"</f>
        <v>00530826</v>
      </c>
      <c r="H2171">
        <v>36</v>
      </c>
      <c r="I2171">
        <v>0</v>
      </c>
      <c r="M2171">
        <v>0</v>
      </c>
      <c r="N2171">
        <v>0</v>
      </c>
      <c r="O2171">
        <v>0</v>
      </c>
      <c r="P2171">
        <v>36</v>
      </c>
      <c r="Q2171">
        <v>0</v>
      </c>
      <c r="R2171">
        <v>0</v>
      </c>
      <c r="S2171">
        <v>0</v>
      </c>
      <c r="T2171">
        <v>0</v>
      </c>
      <c r="U2171" s="1">
        <v>0</v>
      </c>
      <c r="V2171">
        <v>36</v>
      </c>
    </row>
    <row r="2172" spans="1:22" ht="15">
      <c r="A2172" s="4">
        <v>2165</v>
      </c>
      <c r="B2172">
        <v>1153</v>
      </c>
      <c r="C2172" t="s">
        <v>4731</v>
      </c>
      <c r="D2172" t="s">
        <v>319</v>
      </c>
      <c r="E2172" t="s">
        <v>86</v>
      </c>
      <c r="F2172" t="s">
        <v>4732</v>
      </c>
      <c r="G2172" t="str">
        <f>"00529882"</f>
        <v>00529882</v>
      </c>
      <c r="H2172">
        <v>36</v>
      </c>
      <c r="I2172">
        <v>0</v>
      </c>
      <c r="M2172">
        <v>0</v>
      </c>
      <c r="N2172">
        <v>0</v>
      </c>
      <c r="O2172">
        <v>0</v>
      </c>
      <c r="P2172">
        <v>36</v>
      </c>
      <c r="Q2172">
        <v>0</v>
      </c>
      <c r="R2172">
        <v>0</v>
      </c>
      <c r="S2172">
        <v>0</v>
      </c>
      <c r="T2172">
        <v>0</v>
      </c>
      <c r="U2172" s="1">
        <v>0</v>
      </c>
      <c r="V2172">
        <v>36</v>
      </c>
    </row>
    <row r="2173" spans="1:22" ht="15">
      <c r="A2173" s="4">
        <v>2166</v>
      </c>
      <c r="B2173">
        <v>583</v>
      </c>
      <c r="C2173" t="s">
        <v>2253</v>
      </c>
      <c r="D2173" t="s">
        <v>127</v>
      </c>
      <c r="E2173" t="s">
        <v>99</v>
      </c>
      <c r="F2173" t="s">
        <v>4733</v>
      </c>
      <c r="G2173" t="str">
        <f>"00530886"</f>
        <v>00530886</v>
      </c>
      <c r="H2173">
        <v>36</v>
      </c>
      <c r="I2173">
        <v>0</v>
      </c>
      <c r="M2173">
        <v>0</v>
      </c>
      <c r="N2173">
        <v>0</v>
      </c>
      <c r="O2173">
        <v>0</v>
      </c>
      <c r="P2173">
        <v>36</v>
      </c>
      <c r="Q2173">
        <v>0</v>
      </c>
      <c r="R2173">
        <v>0</v>
      </c>
      <c r="S2173">
        <v>0</v>
      </c>
      <c r="T2173">
        <v>0</v>
      </c>
      <c r="U2173" s="1">
        <v>0</v>
      </c>
      <c r="V2173">
        <v>36</v>
      </c>
    </row>
    <row r="2174" spans="1:22" ht="15">
      <c r="A2174" s="4">
        <v>2167</v>
      </c>
      <c r="B2174">
        <v>809</v>
      </c>
      <c r="C2174" t="s">
        <v>705</v>
      </c>
      <c r="D2174" t="s">
        <v>127</v>
      </c>
      <c r="E2174" t="s">
        <v>30</v>
      </c>
      <c r="F2174" t="s">
        <v>4734</v>
      </c>
      <c r="G2174" t="str">
        <f>"00469766"</f>
        <v>00469766</v>
      </c>
      <c r="H2174">
        <v>36</v>
      </c>
      <c r="I2174">
        <v>0</v>
      </c>
      <c r="M2174">
        <v>0</v>
      </c>
      <c r="N2174">
        <v>0</v>
      </c>
      <c r="O2174">
        <v>0</v>
      </c>
      <c r="P2174">
        <v>36</v>
      </c>
      <c r="Q2174">
        <v>0</v>
      </c>
      <c r="R2174">
        <v>0</v>
      </c>
      <c r="S2174">
        <v>0</v>
      </c>
      <c r="T2174">
        <v>0</v>
      </c>
      <c r="U2174" s="1">
        <v>0</v>
      </c>
      <c r="V2174">
        <v>36</v>
      </c>
    </row>
    <row r="2175" spans="1:22" ht="15">
      <c r="A2175" s="4">
        <v>2168</v>
      </c>
      <c r="B2175">
        <v>3068</v>
      </c>
      <c r="C2175" t="s">
        <v>4735</v>
      </c>
      <c r="D2175" t="s">
        <v>124</v>
      </c>
      <c r="E2175" t="s">
        <v>23</v>
      </c>
      <c r="F2175" t="s">
        <v>4736</v>
      </c>
      <c r="G2175" t="str">
        <f>"00531982"</f>
        <v>00531982</v>
      </c>
      <c r="H2175">
        <v>36</v>
      </c>
      <c r="I2175">
        <v>0</v>
      </c>
      <c r="M2175">
        <v>0</v>
      </c>
      <c r="N2175">
        <v>0</v>
      </c>
      <c r="O2175">
        <v>0</v>
      </c>
      <c r="P2175">
        <v>36</v>
      </c>
      <c r="Q2175">
        <v>0</v>
      </c>
      <c r="R2175">
        <v>0</v>
      </c>
      <c r="S2175">
        <v>0</v>
      </c>
      <c r="T2175">
        <v>0</v>
      </c>
      <c r="U2175" s="1">
        <v>0</v>
      </c>
      <c r="V2175">
        <v>36</v>
      </c>
    </row>
    <row r="2176" spans="1:22" ht="15">
      <c r="A2176" s="4">
        <v>2169</v>
      </c>
      <c r="B2176">
        <v>2869</v>
      </c>
      <c r="C2176" t="s">
        <v>4737</v>
      </c>
      <c r="D2176" t="s">
        <v>29</v>
      </c>
      <c r="E2176" t="s">
        <v>19</v>
      </c>
      <c r="F2176" t="s">
        <v>4738</v>
      </c>
      <c r="G2176" t="str">
        <f>"00495992"</f>
        <v>00495992</v>
      </c>
      <c r="H2176">
        <v>16</v>
      </c>
      <c r="I2176">
        <v>10</v>
      </c>
      <c r="M2176">
        <v>4</v>
      </c>
      <c r="N2176">
        <v>0</v>
      </c>
      <c r="O2176">
        <v>0</v>
      </c>
      <c r="P2176">
        <v>30</v>
      </c>
      <c r="Q2176">
        <v>0</v>
      </c>
      <c r="R2176">
        <v>0</v>
      </c>
      <c r="S2176">
        <v>6</v>
      </c>
      <c r="T2176">
        <v>0</v>
      </c>
      <c r="U2176" s="1">
        <v>0</v>
      </c>
      <c r="V2176">
        <v>36</v>
      </c>
    </row>
    <row r="2177" spans="1:22" ht="15">
      <c r="A2177" s="4">
        <v>2170</v>
      </c>
      <c r="B2177">
        <v>727</v>
      </c>
      <c r="C2177" t="s">
        <v>4739</v>
      </c>
      <c r="D2177" t="s">
        <v>1466</v>
      </c>
      <c r="E2177" t="s">
        <v>30</v>
      </c>
      <c r="F2177" t="s">
        <v>4740</v>
      </c>
      <c r="G2177" t="str">
        <f>"00515401"</f>
        <v>00515401</v>
      </c>
      <c r="H2177">
        <v>30</v>
      </c>
      <c r="I2177">
        <v>0</v>
      </c>
      <c r="M2177">
        <v>0</v>
      </c>
      <c r="N2177">
        <v>0</v>
      </c>
      <c r="O2177">
        <v>0</v>
      </c>
      <c r="P2177">
        <v>30</v>
      </c>
      <c r="Q2177">
        <v>0</v>
      </c>
      <c r="R2177">
        <v>0</v>
      </c>
      <c r="S2177">
        <v>6</v>
      </c>
      <c r="T2177">
        <v>0</v>
      </c>
      <c r="U2177" s="1">
        <v>0</v>
      </c>
      <c r="V2177">
        <v>36</v>
      </c>
    </row>
    <row r="2178" spans="1:22" ht="15">
      <c r="A2178" s="4">
        <v>2171</v>
      </c>
      <c r="B2178">
        <v>2954</v>
      </c>
      <c r="C2178" t="s">
        <v>4741</v>
      </c>
      <c r="D2178" t="s">
        <v>29</v>
      </c>
      <c r="E2178" t="s">
        <v>41</v>
      </c>
      <c r="F2178" t="s">
        <v>4742</v>
      </c>
      <c r="G2178" t="str">
        <f>"00532999"</f>
        <v>00532999</v>
      </c>
      <c r="H2178">
        <v>36</v>
      </c>
      <c r="I2178">
        <v>0</v>
      </c>
      <c r="M2178">
        <v>0</v>
      </c>
      <c r="N2178">
        <v>0</v>
      </c>
      <c r="O2178">
        <v>0</v>
      </c>
      <c r="P2178">
        <v>36</v>
      </c>
      <c r="Q2178">
        <v>0</v>
      </c>
      <c r="R2178">
        <v>0</v>
      </c>
      <c r="S2178">
        <v>0</v>
      </c>
      <c r="T2178">
        <v>0</v>
      </c>
      <c r="U2178" s="1">
        <v>0</v>
      </c>
      <c r="V2178">
        <v>36</v>
      </c>
    </row>
    <row r="2179" spans="1:22" ht="15">
      <c r="A2179" s="4">
        <v>2172</v>
      </c>
      <c r="B2179">
        <v>2131</v>
      </c>
      <c r="C2179" t="s">
        <v>4743</v>
      </c>
      <c r="D2179" t="s">
        <v>511</v>
      </c>
      <c r="E2179" t="s">
        <v>59</v>
      </c>
      <c r="F2179" t="s">
        <v>4744</v>
      </c>
      <c r="G2179" t="str">
        <f>"00531591"</f>
        <v>00531591</v>
      </c>
      <c r="H2179">
        <v>36</v>
      </c>
      <c r="I2179">
        <v>0</v>
      </c>
      <c r="M2179">
        <v>0</v>
      </c>
      <c r="N2179">
        <v>0</v>
      </c>
      <c r="O2179">
        <v>0</v>
      </c>
      <c r="P2179">
        <v>36</v>
      </c>
      <c r="Q2179">
        <v>0</v>
      </c>
      <c r="R2179">
        <v>0</v>
      </c>
      <c r="S2179">
        <v>0</v>
      </c>
      <c r="T2179">
        <v>0</v>
      </c>
      <c r="U2179" s="1">
        <v>0</v>
      </c>
      <c r="V2179">
        <v>36</v>
      </c>
    </row>
    <row r="2180" spans="1:22" ht="15">
      <c r="A2180" s="4">
        <v>2173</v>
      </c>
      <c r="B2180">
        <v>2557</v>
      </c>
      <c r="C2180" t="s">
        <v>4745</v>
      </c>
      <c r="D2180" t="s">
        <v>182</v>
      </c>
      <c r="E2180" t="s">
        <v>358</v>
      </c>
      <c r="F2180" t="s">
        <v>4746</v>
      </c>
      <c r="G2180" t="str">
        <f>"00477750"</f>
        <v>00477750</v>
      </c>
      <c r="H2180">
        <v>22.92</v>
      </c>
      <c r="I2180">
        <v>10</v>
      </c>
      <c r="M2180">
        <v>0</v>
      </c>
      <c r="N2180">
        <v>0</v>
      </c>
      <c r="O2180">
        <v>0</v>
      </c>
      <c r="P2180">
        <v>32.92</v>
      </c>
      <c r="Q2180">
        <v>0</v>
      </c>
      <c r="R2180">
        <v>0</v>
      </c>
      <c r="S2180">
        <v>3</v>
      </c>
      <c r="T2180">
        <v>0</v>
      </c>
      <c r="U2180" s="1">
        <v>0</v>
      </c>
      <c r="V2180">
        <v>35.92</v>
      </c>
    </row>
    <row r="2181" spans="1:22" ht="15">
      <c r="A2181" s="4">
        <v>2174</v>
      </c>
      <c r="B2181">
        <v>1134</v>
      </c>
      <c r="C2181" t="s">
        <v>4747</v>
      </c>
      <c r="D2181" t="s">
        <v>298</v>
      </c>
      <c r="E2181" t="s">
        <v>59</v>
      </c>
      <c r="F2181" t="s">
        <v>4748</v>
      </c>
      <c r="G2181" t="str">
        <f>"00529904"</f>
        <v>00529904</v>
      </c>
      <c r="H2181">
        <v>21.88</v>
      </c>
      <c r="I2181">
        <v>0</v>
      </c>
      <c r="M2181">
        <v>0</v>
      </c>
      <c r="N2181">
        <v>0</v>
      </c>
      <c r="O2181">
        <v>0</v>
      </c>
      <c r="P2181">
        <v>21.88</v>
      </c>
      <c r="Q2181">
        <v>14</v>
      </c>
      <c r="R2181">
        <v>14</v>
      </c>
      <c r="S2181">
        <v>0</v>
      </c>
      <c r="T2181">
        <v>0</v>
      </c>
      <c r="U2181" s="1">
        <v>0</v>
      </c>
      <c r="V2181">
        <v>35.88</v>
      </c>
    </row>
    <row r="2182" spans="1:22" ht="15">
      <c r="A2182" s="4">
        <v>2175</v>
      </c>
      <c r="B2182">
        <v>631</v>
      </c>
      <c r="C2182" t="s">
        <v>4749</v>
      </c>
      <c r="D2182" t="s">
        <v>1034</v>
      </c>
      <c r="E2182" t="s">
        <v>4750</v>
      </c>
      <c r="F2182" t="s">
        <v>4751</v>
      </c>
      <c r="G2182" t="str">
        <f>"00513268"</f>
        <v>00513268</v>
      </c>
      <c r="H2182">
        <v>16.84</v>
      </c>
      <c r="I2182">
        <v>10</v>
      </c>
      <c r="M2182">
        <v>0</v>
      </c>
      <c r="N2182">
        <v>0</v>
      </c>
      <c r="O2182">
        <v>0</v>
      </c>
      <c r="P2182">
        <v>26.84</v>
      </c>
      <c r="Q2182">
        <v>3</v>
      </c>
      <c r="R2182">
        <v>3</v>
      </c>
      <c r="S2182">
        <v>6</v>
      </c>
      <c r="T2182">
        <v>0</v>
      </c>
      <c r="U2182" s="1">
        <v>0</v>
      </c>
      <c r="V2182">
        <v>35.84</v>
      </c>
    </row>
    <row r="2183" spans="1:22" ht="15">
      <c r="A2183" s="4">
        <v>2176</v>
      </c>
      <c r="B2183">
        <v>1755</v>
      </c>
      <c r="C2183" t="s">
        <v>4752</v>
      </c>
      <c r="D2183" t="s">
        <v>273</v>
      </c>
      <c r="E2183" t="s">
        <v>19</v>
      </c>
      <c r="F2183" t="s">
        <v>4753</v>
      </c>
      <c r="G2183" t="str">
        <f>"00390737"</f>
        <v>00390737</v>
      </c>
      <c r="H2183">
        <v>28.8</v>
      </c>
      <c r="I2183">
        <v>0</v>
      </c>
      <c r="M2183">
        <v>4</v>
      </c>
      <c r="N2183">
        <v>0</v>
      </c>
      <c r="O2183">
        <v>0</v>
      </c>
      <c r="P2183">
        <v>32.8</v>
      </c>
      <c r="Q2183">
        <v>0</v>
      </c>
      <c r="R2183">
        <v>0</v>
      </c>
      <c r="S2183">
        <v>3</v>
      </c>
      <c r="T2183">
        <v>0</v>
      </c>
      <c r="U2183" s="1">
        <v>0</v>
      </c>
      <c r="V2183">
        <v>35.8</v>
      </c>
    </row>
    <row r="2184" spans="1:22" ht="15">
      <c r="A2184" s="4">
        <v>2177</v>
      </c>
      <c r="B2184">
        <v>745</v>
      </c>
      <c r="C2184" t="s">
        <v>1969</v>
      </c>
      <c r="D2184" t="s">
        <v>14</v>
      </c>
      <c r="E2184" t="s">
        <v>11</v>
      </c>
      <c r="F2184" t="s">
        <v>4754</v>
      </c>
      <c r="G2184" t="str">
        <f>"00528662"</f>
        <v>00528662</v>
      </c>
      <c r="H2184">
        <v>28.8</v>
      </c>
      <c r="I2184">
        <v>0</v>
      </c>
      <c r="M2184">
        <v>4</v>
      </c>
      <c r="N2184">
        <v>0</v>
      </c>
      <c r="O2184">
        <v>0</v>
      </c>
      <c r="P2184">
        <v>32.8</v>
      </c>
      <c r="Q2184">
        <v>0</v>
      </c>
      <c r="R2184">
        <v>0</v>
      </c>
      <c r="S2184">
        <v>3</v>
      </c>
      <c r="T2184">
        <v>0</v>
      </c>
      <c r="U2184" s="1">
        <v>0</v>
      </c>
      <c r="V2184">
        <v>35.8</v>
      </c>
    </row>
    <row r="2185" spans="1:22" ht="15">
      <c r="A2185" s="4">
        <v>2178</v>
      </c>
      <c r="B2185">
        <v>1307</v>
      </c>
      <c r="C2185" t="s">
        <v>4755</v>
      </c>
      <c r="D2185" t="s">
        <v>4756</v>
      </c>
      <c r="E2185" t="s">
        <v>55</v>
      </c>
      <c r="F2185" t="s">
        <v>4757</v>
      </c>
      <c r="G2185" t="str">
        <f>"201511012904"</f>
        <v>201511012904</v>
      </c>
      <c r="H2185">
        <v>9.8</v>
      </c>
      <c r="I2185">
        <v>0</v>
      </c>
      <c r="M2185">
        <v>4</v>
      </c>
      <c r="N2185">
        <v>0</v>
      </c>
      <c r="O2185">
        <v>0</v>
      </c>
      <c r="P2185">
        <v>13.8</v>
      </c>
      <c r="Q2185">
        <v>19</v>
      </c>
      <c r="R2185">
        <v>19</v>
      </c>
      <c r="S2185">
        <v>3</v>
      </c>
      <c r="T2185">
        <v>0</v>
      </c>
      <c r="U2185" s="1">
        <v>0</v>
      </c>
      <c r="V2185">
        <v>35.8</v>
      </c>
    </row>
    <row r="2186" spans="1:22" ht="15">
      <c r="A2186" s="4">
        <v>2179</v>
      </c>
      <c r="B2186">
        <v>3407</v>
      </c>
      <c r="C2186" t="s">
        <v>4758</v>
      </c>
      <c r="D2186" t="s">
        <v>89</v>
      </c>
      <c r="E2186" t="s">
        <v>800</v>
      </c>
      <c r="F2186" t="s">
        <v>4759</v>
      </c>
      <c r="G2186" t="str">
        <f>"00386576"</f>
        <v>00386576</v>
      </c>
      <c r="H2186">
        <v>28.8</v>
      </c>
      <c r="I2186">
        <v>0</v>
      </c>
      <c r="M2186">
        <v>4</v>
      </c>
      <c r="N2186">
        <v>0</v>
      </c>
      <c r="O2186">
        <v>0</v>
      </c>
      <c r="P2186">
        <v>32.8</v>
      </c>
      <c r="Q2186">
        <v>0</v>
      </c>
      <c r="R2186">
        <v>0</v>
      </c>
      <c r="S2186">
        <v>3</v>
      </c>
      <c r="T2186">
        <v>0</v>
      </c>
      <c r="U2186" s="1">
        <v>0</v>
      </c>
      <c r="V2186">
        <v>35.8</v>
      </c>
    </row>
    <row r="2187" spans="1:22" ht="15">
      <c r="A2187" s="4">
        <v>2180</v>
      </c>
      <c r="B2187">
        <v>3447</v>
      </c>
      <c r="C2187" t="s">
        <v>4760</v>
      </c>
      <c r="D2187" t="s">
        <v>643</v>
      </c>
      <c r="E2187" t="s">
        <v>364</v>
      </c>
      <c r="F2187" t="s">
        <v>4761</v>
      </c>
      <c r="G2187" t="str">
        <f>"00374107"</f>
        <v>00374107</v>
      </c>
      <c r="H2187">
        <v>29.72</v>
      </c>
      <c r="I2187">
        <v>0</v>
      </c>
      <c r="M2187">
        <v>0</v>
      </c>
      <c r="N2187">
        <v>0</v>
      </c>
      <c r="O2187">
        <v>0</v>
      </c>
      <c r="P2187">
        <v>29.72</v>
      </c>
      <c r="Q2187">
        <v>0</v>
      </c>
      <c r="R2187">
        <v>0</v>
      </c>
      <c r="S2187">
        <v>6</v>
      </c>
      <c r="T2187">
        <v>0</v>
      </c>
      <c r="U2187" s="1">
        <v>0</v>
      </c>
      <c r="V2187">
        <v>35.72</v>
      </c>
    </row>
    <row r="2188" spans="1:22" ht="15">
      <c r="A2188" s="4">
        <v>2181</v>
      </c>
      <c r="B2188">
        <v>2503</v>
      </c>
      <c r="C2188" t="s">
        <v>4762</v>
      </c>
      <c r="D2188" t="s">
        <v>124</v>
      </c>
      <c r="E2188" t="s">
        <v>19</v>
      </c>
      <c r="F2188" t="s">
        <v>4763</v>
      </c>
      <c r="G2188" t="str">
        <f>"201406008825"</f>
        <v>201406008825</v>
      </c>
      <c r="H2188">
        <v>15.72</v>
      </c>
      <c r="I2188">
        <v>10</v>
      </c>
      <c r="M2188">
        <v>4</v>
      </c>
      <c r="N2188">
        <v>0</v>
      </c>
      <c r="O2188">
        <v>0</v>
      </c>
      <c r="P2188">
        <v>29.72</v>
      </c>
      <c r="Q2188">
        <v>0</v>
      </c>
      <c r="R2188">
        <v>0</v>
      </c>
      <c r="S2188">
        <v>6</v>
      </c>
      <c r="T2188">
        <v>0</v>
      </c>
      <c r="U2188" s="1">
        <v>0</v>
      </c>
      <c r="V2188">
        <v>35.72</v>
      </c>
    </row>
    <row r="2189" spans="1:22" ht="15">
      <c r="A2189" s="4">
        <v>2182</v>
      </c>
      <c r="B2189">
        <v>1668</v>
      </c>
      <c r="C2189" t="s">
        <v>1150</v>
      </c>
      <c r="D2189" t="s">
        <v>4764</v>
      </c>
      <c r="E2189" t="s">
        <v>3583</v>
      </c>
      <c r="F2189" t="s">
        <v>4765</v>
      </c>
      <c r="G2189" t="str">
        <f>"00530295"</f>
        <v>00530295</v>
      </c>
      <c r="H2189">
        <v>15.68</v>
      </c>
      <c r="I2189">
        <v>10</v>
      </c>
      <c r="L2189">
        <v>4</v>
      </c>
      <c r="M2189">
        <v>0</v>
      </c>
      <c r="N2189">
        <v>4</v>
      </c>
      <c r="O2189">
        <v>0</v>
      </c>
      <c r="P2189">
        <v>29.68</v>
      </c>
      <c r="Q2189">
        <v>0</v>
      </c>
      <c r="R2189">
        <v>0</v>
      </c>
      <c r="S2189">
        <v>6</v>
      </c>
      <c r="T2189">
        <v>0</v>
      </c>
      <c r="U2189" s="1">
        <v>0</v>
      </c>
      <c r="V2189">
        <v>35.68</v>
      </c>
    </row>
    <row r="2190" spans="1:22" ht="15">
      <c r="A2190" s="4">
        <v>2183</v>
      </c>
      <c r="B2190">
        <v>1360</v>
      </c>
      <c r="C2190" t="s">
        <v>4766</v>
      </c>
      <c r="D2190" t="s">
        <v>1492</v>
      </c>
      <c r="E2190" t="s">
        <v>344</v>
      </c>
      <c r="F2190" t="s">
        <v>4767</v>
      </c>
      <c r="G2190" t="str">
        <f>"00449682"</f>
        <v>00449682</v>
      </c>
      <c r="H2190">
        <v>31.6</v>
      </c>
      <c r="I2190">
        <v>0</v>
      </c>
      <c r="M2190">
        <v>4</v>
      </c>
      <c r="N2190">
        <v>0</v>
      </c>
      <c r="O2190">
        <v>0</v>
      </c>
      <c r="P2190">
        <v>35.6</v>
      </c>
      <c r="Q2190">
        <v>0</v>
      </c>
      <c r="R2190">
        <v>0</v>
      </c>
      <c r="S2190">
        <v>0</v>
      </c>
      <c r="T2190">
        <v>0</v>
      </c>
      <c r="U2190" s="1">
        <v>0</v>
      </c>
      <c r="V2190">
        <v>35.6</v>
      </c>
    </row>
    <row r="2191" spans="1:22" ht="15">
      <c r="A2191" s="4">
        <v>2184</v>
      </c>
      <c r="B2191">
        <v>421</v>
      </c>
      <c r="C2191" t="s">
        <v>4768</v>
      </c>
      <c r="D2191" t="s">
        <v>14</v>
      </c>
      <c r="E2191" t="s">
        <v>327</v>
      </c>
      <c r="F2191" t="s">
        <v>4769</v>
      </c>
      <c r="G2191" t="str">
        <f>"00486689"</f>
        <v>00486689</v>
      </c>
      <c r="H2191">
        <v>21.6</v>
      </c>
      <c r="I2191">
        <v>0</v>
      </c>
      <c r="L2191">
        <v>4</v>
      </c>
      <c r="M2191">
        <v>4</v>
      </c>
      <c r="N2191">
        <v>4</v>
      </c>
      <c r="O2191">
        <v>0</v>
      </c>
      <c r="P2191">
        <v>29.6</v>
      </c>
      <c r="Q2191">
        <v>0</v>
      </c>
      <c r="R2191">
        <v>0</v>
      </c>
      <c r="S2191">
        <v>6</v>
      </c>
      <c r="T2191">
        <v>0</v>
      </c>
      <c r="U2191" s="1">
        <v>0</v>
      </c>
      <c r="V2191">
        <v>35.6</v>
      </c>
    </row>
    <row r="2192" spans="1:22" ht="15">
      <c r="A2192" s="4">
        <v>2185</v>
      </c>
      <c r="B2192">
        <v>2292</v>
      </c>
      <c r="C2192" t="s">
        <v>4770</v>
      </c>
      <c r="D2192" t="s">
        <v>124</v>
      </c>
      <c r="E2192" t="s">
        <v>157</v>
      </c>
      <c r="F2192" t="s">
        <v>4771</v>
      </c>
      <c r="G2192" t="str">
        <f>"00496382"</f>
        <v>00496382</v>
      </c>
      <c r="H2192">
        <v>21.6</v>
      </c>
      <c r="I2192">
        <v>10</v>
      </c>
      <c r="M2192">
        <v>4</v>
      </c>
      <c r="N2192">
        <v>0</v>
      </c>
      <c r="O2192">
        <v>0</v>
      </c>
      <c r="P2192">
        <v>35.6</v>
      </c>
      <c r="Q2192">
        <v>0</v>
      </c>
      <c r="R2192">
        <v>0</v>
      </c>
      <c r="S2192">
        <v>0</v>
      </c>
      <c r="T2192">
        <v>0</v>
      </c>
      <c r="U2192" s="1">
        <v>0</v>
      </c>
      <c r="V2192">
        <v>35.6</v>
      </c>
    </row>
    <row r="2193" spans="1:22" ht="15">
      <c r="A2193" s="4">
        <v>2186</v>
      </c>
      <c r="B2193">
        <v>2366</v>
      </c>
      <c r="C2193" t="s">
        <v>4772</v>
      </c>
      <c r="D2193" t="s">
        <v>156</v>
      </c>
      <c r="E2193" t="s">
        <v>83</v>
      </c>
      <c r="F2193" t="s">
        <v>4773</v>
      </c>
      <c r="G2193" t="str">
        <f>"00531828"</f>
        <v>00531828</v>
      </c>
      <c r="H2193">
        <v>21.6</v>
      </c>
      <c r="I2193">
        <v>0</v>
      </c>
      <c r="M2193">
        <v>4</v>
      </c>
      <c r="N2193">
        <v>0</v>
      </c>
      <c r="O2193">
        <v>0</v>
      </c>
      <c r="P2193">
        <v>25.6</v>
      </c>
      <c r="Q2193">
        <v>4</v>
      </c>
      <c r="R2193">
        <v>4</v>
      </c>
      <c r="S2193">
        <v>6</v>
      </c>
      <c r="T2193">
        <v>0</v>
      </c>
      <c r="U2193" s="1">
        <v>0</v>
      </c>
      <c r="V2193">
        <v>35.6</v>
      </c>
    </row>
    <row r="2194" spans="1:22" ht="15">
      <c r="A2194" s="4">
        <v>2187</v>
      </c>
      <c r="B2194">
        <v>1269</v>
      </c>
      <c r="C2194" t="s">
        <v>1809</v>
      </c>
      <c r="D2194" t="s">
        <v>170</v>
      </c>
      <c r="E2194" t="s">
        <v>69</v>
      </c>
      <c r="F2194" t="s">
        <v>4774</v>
      </c>
      <c r="G2194" t="str">
        <f>"00482570"</f>
        <v>00482570</v>
      </c>
      <c r="H2194">
        <v>21.6</v>
      </c>
      <c r="I2194">
        <v>0</v>
      </c>
      <c r="L2194">
        <v>4</v>
      </c>
      <c r="M2194">
        <v>4</v>
      </c>
      <c r="N2194">
        <v>4</v>
      </c>
      <c r="O2194">
        <v>2</v>
      </c>
      <c r="P2194">
        <v>31.6</v>
      </c>
      <c r="Q2194">
        <v>4</v>
      </c>
      <c r="R2194">
        <v>4</v>
      </c>
      <c r="S2194">
        <v>0</v>
      </c>
      <c r="T2194">
        <v>0</v>
      </c>
      <c r="U2194" s="1">
        <v>0</v>
      </c>
      <c r="V2194">
        <v>35.6</v>
      </c>
    </row>
    <row r="2195" spans="1:22" ht="15">
      <c r="A2195" s="4">
        <v>2188</v>
      </c>
      <c r="B2195">
        <v>2474</v>
      </c>
      <c r="C2195" t="s">
        <v>4775</v>
      </c>
      <c r="D2195" t="s">
        <v>11</v>
      </c>
      <c r="E2195" t="s">
        <v>90</v>
      </c>
      <c r="F2195" t="s">
        <v>4776</v>
      </c>
      <c r="G2195" t="str">
        <f>"200801006121"</f>
        <v>200801006121</v>
      </c>
      <c r="H2195">
        <v>33.6</v>
      </c>
      <c r="I2195">
        <v>0</v>
      </c>
      <c r="M2195">
        <v>0</v>
      </c>
      <c r="N2195">
        <v>0</v>
      </c>
      <c r="O2195">
        <v>2</v>
      </c>
      <c r="P2195">
        <v>35.6</v>
      </c>
      <c r="Q2195">
        <v>0</v>
      </c>
      <c r="R2195">
        <v>0</v>
      </c>
      <c r="S2195">
        <v>0</v>
      </c>
      <c r="T2195">
        <v>0</v>
      </c>
      <c r="U2195" s="1">
        <v>0</v>
      </c>
      <c r="V2195">
        <v>35.6</v>
      </c>
    </row>
    <row r="2196" spans="1:22" ht="15">
      <c r="A2196" s="4">
        <v>2189</v>
      </c>
      <c r="B2196">
        <v>2261</v>
      </c>
      <c r="C2196" t="s">
        <v>3610</v>
      </c>
      <c r="D2196" t="s">
        <v>4777</v>
      </c>
      <c r="E2196" t="s">
        <v>2369</v>
      </c>
      <c r="F2196" t="s">
        <v>4778</v>
      </c>
      <c r="G2196" t="str">
        <f>"00135388"</f>
        <v>00135388</v>
      </c>
      <c r="H2196">
        <v>21.6</v>
      </c>
      <c r="I2196">
        <v>0</v>
      </c>
      <c r="J2196">
        <v>8</v>
      </c>
      <c r="M2196">
        <v>4</v>
      </c>
      <c r="N2196">
        <v>8</v>
      </c>
      <c r="O2196">
        <v>2</v>
      </c>
      <c r="P2196">
        <v>35.6</v>
      </c>
      <c r="Q2196">
        <v>0</v>
      </c>
      <c r="R2196">
        <v>0</v>
      </c>
      <c r="S2196">
        <v>0</v>
      </c>
      <c r="T2196">
        <v>0</v>
      </c>
      <c r="U2196" s="1">
        <v>0</v>
      </c>
      <c r="V2196">
        <v>35.6</v>
      </c>
    </row>
    <row r="2197" spans="1:22" ht="15">
      <c r="A2197" s="4">
        <v>2190</v>
      </c>
      <c r="B2197">
        <v>661</v>
      </c>
      <c r="C2197" t="s">
        <v>4779</v>
      </c>
      <c r="D2197" t="s">
        <v>333</v>
      </c>
      <c r="E2197" t="s">
        <v>23</v>
      </c>
      <c r="F2197" t="s">
        <v>4780</v>
      </c>
      <c r="G2197" t="str">
        <f>"00498558"</f>
        <v>00498558</v>
      </c>
      <c r="H2197">
        <v>21.6</v>
      </c>
      <c r="I2197">
        <v>0</v>
      </c>
      <c r="L2197">
        <v>4</v>
      </c>
      <c r="M2197">
        <v>4</v>
      </c>
      <c r="N2197">
        <v>4</v>
      </c>
      <c r="O2197">
        <v>0</v>
      </c>
      <c r="P2197">
        <v>29.6</v>
      </c>
      <c r="Q2197">
        <v>0</v>
      </c>
      <c r="R2197">
        <v>0</v>
      </c>
      <c r="S2197">
        <v>6</v>
      </c>
      <c r="T2197">
        <v>0</v>
      </c>
      <c r="U2197" s="1">
        <v>0</v>
      </c>
      <c r="V2197">
        <v>35.6</v>
      </c>
    </row>
    <row r="2198" spans="1:22" ht="15">
      <c r="A2198" s="4">
        <v>2191</v>
      </c>
      <c r="B2198">
        <v>1260</v>
      </c>
      <c r="C2198" t="s">
        <v>4781</v>
      </c>
      <c r="D2198" t="s">
        <v>102</v>
      </c>
      <c r="E2198" t="s">
        <v>358</v>
      </c>
      <c r="F2198" t="s">
        <v>4782</v>
      </c>
      <c r="G2198" t="str">
        <f>"00274747"</f>
        <v>00274747</v>
      </c>
      <c r="H2198">
        <v>21.6</v>
      </c>
      <c r="I2198">
        <v>0</v>
      </c>
      <c r="L2198">
        <v>4</v>
      </c>
      <c r="M2198">
        <v>4</v>
      </c>
      <c r="N2198">
        <v>4</v>
      </c>
      <c r="O2198">
        <v>0</v>
      </c>
      <c r="P2198">
        <v>29.6</v>
      </c>
      <c r="Q2198">
        <v>0</v>
      </c>
      <c r="R2198">
        <v>0</v>
      </c>
      <c r="S2198">
        <v>6</v>
      </c>
      <c r="T2198">
        <v>0</v>
      </c>
      <c r="U2198" s="1">
        <v>0</v>
      </c>
      <c r="V2198">
        <v>35.6</v>
      </c>
    </row>
    <row r="2199" spans="1:22" ht="15">
      <c r="A2199" s="4">
        <v>2192</v>
      </c>
      <c r="B2199">
        <v>3107</v>
      </c>
      <c r="C2199" t="s">
        <v>96</v>
      </c>
      <c r="D2199" t="s">
        <v>582</v>
      </c>
      <c r="E2199" t="s">
        <v>90</v>
      </c>
      <c r="F2199" t="s">
        <v>4783</v>
      </c>
      <c r="G2199" t="str">
        <f>"00532266"</f>
        <v>00532266</v>
      </c>
      <c r="H2199">
        <v>29.52</v>
      </c>
      <c r="I2199">
        <v>0</v>
      </c>
      <c r="M2199">
        <v>0</v>
      </c>
      <c r="N2199">
        <v>0</v>
      </c>
      <c r="O2199">
        <v>0</v>
      </c>
      <c r="P2199">
        <v>29.52</v>
      </c>
      <c r="Q2199">
        <v>0</v>
      </c>
      <c r="R2199">
        <v>0</v>
      </c>
      <c r="S2199">
        <v>6</v>
      </c>
      <c r="T2199">
        <v>0</v>
      </c>
      <c r="U2199" s="1">
        <v>0</v>
      </c>
      <c r="V2199">
        <v>35.52</v>
      </c>
    </row>
    <row r="2200" spans="1:22" ht="15">
      <c r="A2200" s="4">
        <v>2193</v>
      </c>
      <c r="B2200">
        <v>1579</v>
      </c>
      <c r="C2200" t="s">
        <v>4784</v>
      </c>
      <c r="D2200" t="s">
        <v>1006</v>
      </c>
      <c r="E2200" t="s">
        <v>134</v>
      </c>
      <c r="F2200" t="s">
        <v>4785</v>
      </c>
      <c r="G2200" t="str">
        <f>"00531073"</f>
        <v>00531073</v>
      </c>
      <c r="H2200">
        <v>29.44</v>
      </c>
      <c r="I2200">
        <v>0</v>
      </c>
      <c r="M2200">
        <v>0</v>
      </c>
      <c r="N2200">
        <v>0</v>
      </c>
      <c r="O2200">
        <v>0</v>
      </c>
      <c r="P2200">
        <v>29.44</v>
      </c>
      <c r="Q2200">
        <v>0</v>
      </c>
      <c r="R2200">
        <v>0</v>
      </c>
      <c r="S2200">
        <v>6</v>
      </c>
      <c r="T2200">
        <v>0</v>
      </c>
      <c r="U2200" s="1">
        <v>0</v>
      </c>
      <c r="V2200">
        <v>35.44</v>
      </c>
    </row>
    <row r="2201" spans="1:22" ht="15">
      <c r="A2201" s="4">
        <v>2194</v>
      </c>
      <c r="B2201">
        <v>1669</v>
      </c>
      <c r="C2201" t="s">
        <v>4786</v>
      </c>
      <c r="D2201" t="s">
        <v>14</v>
      </c>
      <c r="E2201" t="s">
        <v>23</v>
      </c>
      <c r="F2201" t="s">
        <v>4787</v>
      </c>
      <c r="G2201" t="str">
        <f>"00372052"</f>
        <v>00372052</v>
      </c>
      <c r="H2201">
        <v>22.4</v>
      </c>
      <c r="I2201">
        <v>0</v>
      </c>
      <c r="M2201">
        <v>4</v>
      </c>
      <c r="N2201">
        <v>0</v>
      </c>
      <c r="O2201">
        <v>0</v>
      </c>
      <c r="P2201">
        <v>26.4</v>
      </c>
      <c r="Q2201">
        <v>0</v>
      </c>
      <c r="R2201">
        <v>0</v>
      </c>
      <c r="S2201">
        <v>9</v>
      </c>
      <c r="T2201">
        <v>0</v>
      </c>
      <c r="U2201" s="1">
        <v>0</v>
      </c>
      <c r="V2201">
        <v>35.4</v>
      </c>
    </row>
    <row r="2202" spans="1:22" ht="15">
      <c r="A2202" s="4">
        <v>2195</v>
      </c>
      <c r="B2202">
        <v>2407</v>
      </c>
      <c r="C2202" t="s">
        <v>4788</v>
      </c>
      <c r="D2202" t="s">
        <v>4789</v>
      </c>
      <c r="E2202" t="s">
        <v>19</v>
      </c>
      <c r="F2202" t="s">
        <v>4790</v>
      </c>
      <c r="G2202" t="str">
        <f>"201206000082"</f>
        <v>201206000082</v>
      </c>
      <c r="H2202">
        <v>14.4</v>
      </c>
      <c r="I2202">
        <v>10</v>
      </c>
      <c r="L2202">
        <v>4</v>
      </c>
      <c r="M2202">
        <v>4</v>
      </c>
      <c r="N2202">
        <v>4</v>
      </c>
      <c r="O2202">
        <v>0</v>
      </c>
      <c r="P2202">
        <v>32.4</v>
      </c>
      <c r="Q2202">
        <v>0</v>
      </c>
      <c r="R2202">
        <v>0</v>
      </c>
      <c r="S2202">
        <v>3</v>
      </c>
      <c r="T2202">
        <v>0</v>
      </c>
      <c r="U2202" s="1">
        <v>0</v>
      </c>
      <c r="V2202">
        <v>35.4</v>
      </c>
    </row>
    <row r="2203" spans="1:22" ht="15">
      <c r="A2203" s="4">
        <v>2196</v>
      </c>
      <c r="B2203">
        <v>1990</v>
      </c>
      <c r="C2203" t="s">
        <v>4791</v>
      </c>
      <c r="D2203" t="s">
        <v>1589</v>
      </c>
      <c r="E2203" t="s">
        <v>11</v>
      </c>
      <c r="F2203" t="s">
        <v>4792</v>
      </c>
      <c r="G2203" t="str">
        <f>"00323417"</f>
        <v>00323417</v>
      </c>
      <c r="H2203">
        <v>28.36</v>
      </c>
      <c r="I2203">
        <v>0</v>
      </c>
      <c r="M2203">
        <v>4</v>
      </c>
      <c r="N2203">
        <v>0</v>
      </c>
      <c r="O2203">
        <v>0</v>
      </c>
      <c r="P2203">
        <v>32.36</v>
      </c>
      <c r="Q2203">
        <v>0</v>
      </c>
      <c r="R2203">
        <v>0</v>
      </c>
      <c r="S2203">
        <v>3</v>
      </c>
      <c r="T2203">
        <v>0</v>
      </c>
      <c r="U2203" s="1">
        <v>0</v>
      </c>
      <c r="V2203">
        <v>35.36</v>
      </c>
    </row>
    <row r="2204" spans="1:22" ht="15">
      <c r="A2204" s="4">
        <v>2197</v>
      </c>
      <c r="B2204">
        <v>1583</v>
      </c>
      <c r="C2204" t="s">
        <v>4793</v>
      </c>
      <c r="D2204" t="s">
        <v>4794</v>
      </c>
      <c r="E2204" t="s">
        <v>4795</v>
      </c>
      <c r="F2204" t="s">
        <v>4796</v>
      </c>
      <c r="G2204" t="str">
        <f>"00485060"</f>
        <v>00485060</v>
      </c>
      <c r="H2204">
        <v>23.2</v>
      </c>
      <c r="I2204">
        <v>0</v>
      </c>
      <c r="J2204">
        <v>8</v>
      </c>
      <c r="M2204">
        <v>4</v>
      </c>
      <c r="N2204">
        <v>8</v>
      </c>
      <c r="O2204">
        <v>0</v>
      </c>
      <c r="P2204">
        <v>35.2</v>
      </c>
      <c r="Q2204">
        <v>0</v>
      </c>
      <c r="R2204">
        <v>0</v>
      </c>
      <c r="S2204">
        <v>0</v>
      </c>
      <c r="T2204">
        <v>0</v>
      </c>
      <c r="U2204" s="1">
        <v>0</v>
      </c>
      <c r="V2204">
        <v>35.2</v>
      </c>
    </row>
    <row r="2205" spans="1:22" ht="15">
      <c r="A2205" s="4">
        <v>2198</v>
      </c>
      <c r="B2205">
        <v>2448</v>
      </c>
      <c r="C2205" t="s">
        <v>4797</v>
      </c>
      <c r="D2205" t="s">
        <v>89</v>
      </c>
      <c r="E2205" t="s">
        <v>30</v>
      </c>
      <c r="F2205" t="s">
        <v>4798</v>
      </c>
      <c r="G2205" t="str">
        <f>"00533890"</f>
        <v>00533890</v>
      </c>
      <c r="H2205">
        <v>7.2</v>
      </c>
      <c r="I2205">
        <v>0</v>
      </c>
      <c r="M2205">
        <v>4</v>
      </c>
      <c r="N2205">
        <v>0</v>
      </c>
      <c r="O2205">
        <v>0</v>
      </c>
      <c r="P2205">
        <v>11.2</v>
      </c>
      <c r="Q2205">
        <v>24</v>
      </c>
      <c r="R2205">
        <v>24</v>
      </c>
      <c r="S2205">
        <v>0</v>
      </c>
      <c r="T2205">
        <v>0</v>
      </c>
      <c r="U2205" s="1">
        <v>0</v>
      </c>
      <c r="V2205">
        <v>35.2</v>
      </c>
    </row>
    <row r="2206" spans="1:22" ht="15">
      <c r="A2206" s="4">
        <v>2199</v>
      </c>
      <c r="B2206">
        <v>2109</v>
      </c>
      <c r="C2206" t="s">
        <v>1652</v>
      </c>
      <c r="D2206" t="s">
        <v>189</v>
      </c>
      <c r="E2206" t="s">
        <v>260</v>
      </c>
      <c r="F2206" t="s">
        <v>4799</v>
      </c>
      <c r="G2206" t="str">
        <f>"00009458"</f>
        <v>00009458</v>
      </c>
      <c r="H2206">
        <v>23.2</v>
      </c>
      <c r="I2206">
        <v>0</v>
      </c>
      <c r="M2206">
        <v>4</v>
      </c>
      <c r="N2206">
        <v>0</v>
      </c>
      <c r="O2206">
        <v>0</v>
      </c>
      <c r="P2206">
        <v>27.2</v>
      </c>
      <c r="Q2206">
        <v>2</v>
      </c>
      <c r="R2206">
        <v>2</v>
      </c>
      <c r="S2206">
        <v>6</v>
      </c>
      <c r="T2206">
        <v>0</v>
      </c>
      <c r="U2206" s="1">
        <v>0</v>
      </c>
      <c r="V2206">
        <v>35.2</v>
      </c>
    </row>
    <row r="2207" spans="1:22" ht="15">
      <c r="A2207" s="4">
        <v>2200</v>
      </c>
      <c r="B2207">
        <v>3437</v>
      </c>
      <c r="C2207" t="s">
        <v>4800</v>
      </c>
      <c r="D2207" t="s">
        <v>1029</v>
      </c>
      <c r="E2207" t="s">
        <v>51</v>
      </c>
      <c r="F2207" t="s">
        <v>4801</v>
      </c>
      <c r="G2207" t="str">
        <f>"00531951"</f>
        <v>00531951</v>
      </c>
      <c r="H2207">
        <v>31</v>
      </c>
      <c r="I2207">
        <v>0</v>
      </c>
      <c r="M2207">
        <v>4</v>
      </c>
      <c r="N2207">
        <v>0</v>
      </c>
      <c r="O2207">
        <v>0</v>
      </c>
      <c r="P2207">
        <v>35</v>
      </c>
      <c r="Q2207">
        <v>0</v>
      </c>
      <c r="R2207">
        <v>0</v>
      </c>
      <c r="S2207">
        <v>0</v>
      </c>
      <c r="T2207">
        <v>0</v>
      </c>
      <c r="U2207" s="1">
        <v>0</v>
      </c>
      <c r="V2207">
        <v>35</v>
      </c>
    </row>
    <row r="2208" spans="1:22" ht="15">
      <c r="A2208" s="4">
        <v>2201</v>
      </c>
      <c r="B2208">
        <v>1607</v>
      </c>
      <c r="C2208" t="s">
        <v>4802</v>
      </c>
      <c r="D2208" t="s">
        <v>82</v>
      </c>
      <c r="E2208" t="s">
        <v>30</v>
      </c>
      <c r="F2208" t="s">
        <v>4803</v>
      </c>
      <c r="G2208" t="str">
        <f>"00278456"</f>
        <v>00278456</v>
      </c>
      <c r="H2208">
        <v>32</v>
      </c>
      <c r="I2208">
        <v>0</v>
      </c>
      <c r="M2208">
        <v>0</v>
      </c>
      <c r="N2208">
        <v>0</v>
      </c>
      <c r="O2208">
        <v>0</v>
      </c>
      <c r="P2208">
        <v>32</v>
      </c>
      <c r="Q2208">
        <v>0</v>
      </c>
      <c r="R2208">
        <v>0</v>
      </c>
      <c r="S2208">
        <v>3</v>
      </c>
      <c r="T2208">
        <v>0</v>
      </c>
      <c r="U2208" s="1">
        <v>0</v>
      </c>
      <c r="V2208">
        <v>35</v>
      </c>
    </row>
    <row r="2209" spans="1:22" ht="15">
      <c r="A2209" s="4">
        <v>2202</v>
      </c>
      <c r="B2209">
        <v>17</v>
      </c>
      <c r="C2209" t="s">
        <v>4804</v>
      </c>
      <c r="D2209" t="s">
        <v>333</v>
      </c>
      <c r="E2209" t="s">
        <v>270</v>
      </c>
      <c r="F2209" t="s">
        <v>4805</v>
      </c>
      <c r="G2209" t="str">
        <f>"00442231"</f>
        <v>00442231</v>
      </c>
      <c r="H2209">
        <v>0</v>
      </c>
      <c r="I2209">
        <v>0</v>
      </c>
      <c r="M2209">
        <v>4</v>
      </c>
      <c r="N2209">
        <v>0</v>
      </c>
      <c r="O2209">
        <v>0</v>
      </c>
      <c r="P2209">
        <v>4</v>
      </c>
      <c r="Q2209">
        <v>28</v>
      </c>
      <c r="R2209">
        <v>28</v>
      </c>
      <c r="S2209">
        <v>3</v>
      </c>
      <c r="T2209">
        <v>0</v>
      </c>
      <c r="U2209" s="1">
        <v>0</v>
      </c>
      <c r="V2209">
        <v>35</v>
      </c>
    </row>
    <row r="2210" spans="1:22" ht="15">
      <c r="A2210" s="4">
        <v>2203</v>
      </c>
      <c r="B2210">
        <v>3122</v>
      </c>
      <c r="C2210" t="s">
        <v>4806</v>
      </c>
      <c r="D2210" t="s">
        <v>1133</v>
      </c>
      <c r="E2210" t="s">
        <v>23</v>
      </c>
      <c r="F2210" t="s">
        <v>4807</v>
      </c>
      <c r="G2210" t="str">
        <f>"200907000008"</f>
        <v>200907000008</v>
      </c>
      <c r="H2210">
        <v>20.92</v>
      </c>
      <c r="I2210">
        <v>10</v>
      </c>
      <c r="M2210">
        <v>4</v>
      </c>
      <c r="N2210">
        <v>0</v>
      </c>
      <c r="O2210">
        <v>0</v>
      </c>
      <c r="P2210">
        <v>34.92</v>
      </c>
      <c r="Q2210">
        <v>0</v>
      </c>
      <c r="R2210">
        <v>0</v>
      </c>
      <c r="S2210">
        <v>0</v>
      </c>
      <c r="T2210">
        <v>0</v>
      </c>
      <c r="U2210" s="1">
        <v>0</v>
      </c>
      <c r="V2210">
        <v>34.92</v>
      </c>
    </row>
    <row r="2211" spans="1:22" ht="15">
      <c r="A2211" s="4">
        <v>2204</v>
      </c>
      <c r="B2211">
        <v>2744</v>
      </c>
      <c r="C2211" t="s">
        <v>1531</v>
      </c>
      <c r="D2211" t="s">
        <v>2021</v>
      </c>
      <c r="E2211" t="s">
        <v>83</v>
      </c>
      <c r="F2211" t="s">
        <v>4808</v>
      </c>
      <c r="G2211" t="str">
        <f>"00533839"</f>
        <v>00533839</v>
      </c>
      <c r="H2211">
        <v>28.88</v>
      </c>
      <c r="I2211">
        <v>0</v>
      </c>
      <c r="M2211">
        <v>0</v>
      </c>
      <c r="N2211">
        <v>0</v>
      </c>
      <c r="O2211">
        <v>0</v>
      </c>
      <c r="P2211">
        <v>28.88</v>
      </c>
      <c r="Q2211">
        <v>0</v>
      </c>
      <c r="R2211">
        <v>0</v>
      </c>
      <c r="S2211">
        <v>6</v>
      </c>
      <c r="T2211">
        <v>0</v>
      </c>
      <c r="U2211" s="1">
        <v>0</v>
      </c>
      <c r="V2211">
        <v>34.88</v>
      </c>
    </row>
    <row r="2212" spans="1:22" ht="15">
      <c r="A2212" s="4">
        <v>2205</v>
      </c>
      <c r="B2212">
        <v>2910</v>
      </c>
      <c r="C2212" t="s">
        <v>4809</v>
      </c>
      <c r="D2212" t="s">
        <v>173</v>
      </c>
      <c r="E2212" t="s">
        <v>99</v>
      </c>
      <c r="F2212" t="s">
        <v>4810</v>
      </c>
      <c r="G2212" t="str">
        <f>"00516537"</f>
        <v>00516537</v>
      </c>
      <c r="H2212">
        <v>28.8</v>
      </c>
      <c r="I2212">
        <v>0</v>
      </c>
      <c r="M2212">
        <v>0</v>
      </c>
      <c r="N2212">
        <v>0</v>
      </c>
      <c r="O2212">
        <v>0</v>
      </c>
      <c r="P2212">
        <v>28.8</v>
      </c>
      <c r="Q2212">
        <v>6</v>
      </c>
      <c r="R2212">
        <v>6</v>
      </c>
      <c r="S2212">
        <v>0</v>
      </c>
      <c r="T2212">
        <v>0</v>
      </c>
      <c r="U2212" s="1">
        <v>0</v>
      </c>
      <c r="V2212">
        <v>34.8</v>
      </c>
    </row>
    <row r="2213" spans="1:22" ht="15">
      <c r="A2213" s="4">
        <v>2206</v>
      </c>
      <c r="B2213">
        <v>2585</v>
      </c>
      <c r="C2213" t="s">
        <v>4811</v>
      </c>
      <c r="D2213" t="s">
        <v>89</v>
      </c>
      <c r="E2213" t="s">
        <v>11</v>
      </c>
      <c r="F2213" t="s">
        <v>4812</v>
      </c>
      <c r="G2213" t="str">
        <f>"00477568"</f>
        <v>00477568</v>
      </c>
      <c r="H2213">
        <v>28.8</v>
      </c>
      <c r="I2213">
        <v>0</v>
      </c>
      <c r="M2213">
        <v>0</v>
      </c>
      <c r="N2213">
        <v>0</v>
      </c>
      <c r="O2213">
        <v>0</v>
      </c>
      <c r="P2213">
        <v>28.8</v>
      </c>
      <c r="Q2213">
        <v>0</v>
      </c>
      <c r="R2213">
        <v>0</v>
      </c>
      <c r="S2213">
        <v>6</v>
      </c>
      <c r="T2213">
        <v>0</v>
      </c>
      <c r="U2213" s="1">
        <v>0</v>
      </c>
      <c r="V2213">
        <v>34.8</v>
      </c>
    </row>
    <row r="2214" spans="1:22" ht="15">
      <c r="A2214" s="4">
        <v>2207</v>
      </c>
      <c r="B2214">
        <v>1949</v>
      </c>
      <c r="C2214" t="s">
        <v>4813</v>
      </c>
      <c r="D2214" t="s">
        <v>156</v>
      </c>
      <c r="E2214" t="s">
        <v>90</v>
      </c>
      <c r="F2214" t="s">
        <v>4814</v>
      </c>
      <c r="G2214" t="str">
        <f>"00530456"</f>
        <v>00530456</v>
      </c>
      <c r="H2214">
        <v>28.8</v>
      </c>
      <c r="I2214">
        <v>0</v>
      </c>
      <c r="M2214">
        <v>0</v>
      </c>
      <c r="N2214">
        <v>0</v>
      </c>
      <c r="O2214">
        <v>0</v>
      </c>
      <c r="P2214">
        <v>28.8</v>
      </c>
      <c r="Q2214">
        <v>0</v>
      </c>
      <c r="R2214">
        <v>0</v>
      </c>
      <c r="S2214">
        <v>6</v>
      </c>
      <c r="T2214">
        <v>0</v>
      </c>
      <c r="U2214" s="1">
        <v>0</v>
      </c>
      <c r="V2214">
        <v>34.8</v>
      </c>
    </row>
    <row r="2215" spans="1:22" ht="15">
      <c r="A2215" s="4">
        <v>2208</v>
      </c>
      <c r="B2215">
        <v>3228</v>
      </c>
      <c r="C2215" t="s">
        <v>4815</v>
      </c>
      <c r="D2215" t="s">
        <v>14</v>
      </c>
      <c r="E2215" t="s">
        <v>134</v>
      </c>
      <c r="F2215" t="s">
        <v>4816</v>
      </c>
      <c r="G2215" t="str">
        <f>"00523676"</f>
        <v>00523676</v>
      </c>
      <c r="H2215">
        <v>28.8</v>
      </c>
      <c r="I2215">
        <v>0</v>
      </c>
      <c r="M2215">
        <v>0</v>
      </c>
      <c r="N2215">
        <v>0</v>
      </c>
      <c r="O2215">
        <v>0</v>
      </c>
      <c r="P2215">
        <v>28.8</v>
      </c>
      <c r="Q2215">
        <v>0</v>
      </c>
      <c r="R2215">
        <v>0</v>
      </c>
      <c r="S2215">
        <v>6</v>
      </c>
      <c r="T2215">
        <v>0</v>
      </c>
      <c r="U2215" s="1">
        <v>0</v>
      </c>
      <c r="V2215">
        <v>34.8</v>
      </c>
    </row>
    <row r="2216" spans="1:22" ht="15">
      <c r="A2216" s="4">
        <v>2209</v>
      </c>
      <c r="B2216">
        <v>1959</v>
      </c>
      <c r="C2216" t="s">
        <v>4817</v>
      </c>
      <c r="D2216" t="s">
        <v>14</v>
      </c>
      <c r="E2216" t="s">
        <v>90</v>
      </c>
      <c r="F2216" t="s">
        <v>4818</v>
      </c>
      <c r="G2216" t="str">
        <f>"00265073"</f>
        <v>00265073</v>
      </c>
      <c r="H2216">
        <v>28.8</v>
      </c>
      <c r="I2216">
        <v>0</v>
      </c>
      <c r="M2216">
        <v>0</v>
      </c>
      <c r="N2216">
        <v>0</v>
      </c>
      <c r="O2216">
        <v>0</v>
      </c>
      <c r="P2216">
        <v>28.8</v>
      </c>
      <c r="Q2216">
        <v>6</v>
      </c>
      <c r="R2216">
        <v>6</v>
      </c>
      <c r="S2216">
        <v>0</v>
      </c>
      <c r="T2216">
        <v>0</v>
      </c>
      <c r="U2216" s="1">
        <v>0</v>
      </c>
      <c r="V2216">
        <v>34.8</v>
      </c>
    </row>
    <row r="2217" spans="1:22" ht="15">
      <c r="A2217" s="4">
        <v>2210</v>
      </c>
      <c r="B2217">
        <v>3115</v>
      </c>
      <c r="C2217" t="s">
        <v>4819</v>
      </c>
      <c r="D2217" t="s">
        <v>4820</v>
      </c>
      <c r="E2217" t="s">
        <v>4821</v>
      </c>
      <c r="F2217" t="s">
        <v>4822</v>
      </c>
      <c r="G2217" t="str">
        <f>"00534259"</f>
        <v>00534259</v>
      </c>
      <c r="H2217">
        <v>34.8</v>
      </c>
      <c r="I2217">
        <v>0</v>
      </c>
      <c r="M2217">
        <v>0</v>
      </c>
      <c r="N2217">
        <v>0</v>
      </c>
      <c r="O2217">
        <v>0</v>
      </c>
      <c r="P2217">
        <v>34.8</v>
      </c>
      <c r="Q2217">
        <v>0</v>
      </c>
      <c r="R2217">
        <v>0</v>
      </c>
      <c r="S2217">
        <v>0</v>
      </c>
      <c r="T2217">
        <v>0</v>
      </c>
      <c r="U2217" s="1">
        <v>0</v>
      </c>
      <c r="V2217">
        <v>34.8</v>
      </c>
    </row>
    <row r="2218" spans="1:22" ht="15">
      <c r="A2218" s="4">
        <v>2211</v>
      </c>
      <c r="B2218">
        <v>168</v>
      </c>
      <c r="C2218" t="s">
        <v>4823</v>
      </c>
      <c r="D2218" t="s">
        <v>222</v>
      </c>
      <c r="E2218" t="s">
        <v>11</v>
      </c>
      <c r="F2218" t="s">
        <v>4824</v>
      </c>
      <c r="G2218" t="str">
        <f>"00506201"</f>
        <v>00506201</v>
      </c>
      <c r="H2218">
        <v>27.72</v>
      </c>
      <c r="I2218">
        <v>0</v>
      </c>
      <c r="L2218">
        <v>4</v>
      </c>
      <c r="M2218">
        <v>0</v>
      </c>
      <c r="N2218">
        <v>4</v>
      </c>
      <c r="O2218">
        <v>0</v>
      </c>
      <c r="P2218">
        <v>31.72</v>
      </c>
      <c r="Q2218">
        <v>0</v>
      </c>
      <c r="R2218">
        <v>0</v>
      </c>
      <c r="S2218">
        <v>3</v>
      </c>
      <c r="T2218">
        <v>0</v>
      </c>
      <c r="U2218" s="1">
        <v>0</v>
      </c>
      <c r="V2218">
        <v>34.72</v>
      </c>
    </row>
    <row r="2219" spans="1:22" ht="15">
      <c r="A2219" s="4">
        <v>2212</v>
      </c>
      <c r="B2219">
        <v>948</v>
      </c>
      <c r="C2219" t="s">
        <v>4825</v>
      </c>
      <c r="D2219" t="s">
        <v>14</v>
      </c>
      <c r="E2219" t="s">
        <v>1401</v>
      </c>
      <c r="F2219" t="s">
        <v>4826</v>
      </c>
      <c r="G2219" t="str">
        <f>"00153524"</f>
        <v>00153524</v>
      </c>
      <c r="H2219">
        <v>27.72</v>
      </c>
      <c r="I2219">
        <v>0</v>
      </c>
      <c r="M2219">
        <v>4</v>
      </c>
      <c r="N2219">
        <v>0</v>
      </c>
      <c r="O2219">
        <v>0</v>
      </c>
      <c r="P2219">
        <v>31.72</v>
      </c>
      <c r="Q2219">
        <v>0</v>
      </c>
      <c r="R2219">
        <v>0</v>
      </c>
      <c r="S2219">
        <v>3</v>
      </c>
      <c r="T2219">
        <v>0</v>
      </c>
      <c r="U2219" s="1">
        <v>0</v>
      </c>
      <c r="V2219">
        <v>34.72</v>
      </c>
    </row>
    <row r="2220" spans="1:22" ht="15">
      <c r="A2220" s="4">
        <v>2213</v>
      </c>
      <c r="B2220">
        <v>2712</v>
      </c>
      <c r="C2220" t="s">
        <v>3255</v>
      </c>
      <c r="D2220" t="s">
        <v>40</v>
      </c>
      <c r="E2220" t="s">
        <v>11</v>
      </c>
      <c r="F2220" t="s">
        <v>4827</v>
      </c>
      <c r="G2220" t="str">
        <f>"00531470"</f>
        <v>00531470</v>
      </c>
      <c r="H2220">
        <v>15.72</v>
      </c>
      <c r="I2220">
        <v>10</v>
      </c>
      <c r="M2220">
        <v>0</v>
      </c>
      <c r="N2220">
        <v>0</v>
      </c>
      <c r="O2220">
        <v>0</v>
      </c>
      <c r="P2220">
        <v>25.72</v>
      </c>
      <c r="Q2220">
        <v>0</v>
      </c>
      <c r="R2220">
        <v>0</v>
      </c>
      <c r="S2220">
        <v>9</v>
      </c>
      <c r="T2220">
        <v>0</v>
      </c>
      <c r="U2220" s="1">
        <v>0</v>
      </c>
      <c r="V2220">
        <v>34.72</v>
      </c>
    </row>
    <row r="2221" spans="1:22" ht="15">
      <c r="A2221" s="4">
        <v>2214</v>
      </c>
      <c r="B2221">
        <v>3001</v>
      </c>
      <c r="C2221" t="s">
        <v>4828</v>
      </c>
      <c r="D2221" t="s">
        <v>14</v>
      </c>
      <c r="E2221" t="s">
        <v>11</v>
      </c>
      <c r="F2221" t="s">
        <v>4829</v>
      </c>
      <c r="G2221" t="str">
        <f>"00296833"</f>
        <v>00296833</v>
      </c>
      <c r="H2221">
        <v>21.6</v>
      </c>
      <c r="I2221">
        <v>0</v>
      </c>
      <c r="M2221">
        <v>4</v>
      </c>
      <c r="N2221">
        <v>0</v>
      </c>
      <c r="O2221">
        <v>0</v>
      </c>
      <c r="P2221">
        <v>25.6</v>
      </c>
      <c r="Q2221">
        <v>0</v>
      </c>
      <c r="R2221">
        <v>0</v>
      </c>
      <c r="S2221">
        <v>9</v>
      </c>
      <c r="T2221">
        <v>0</v>
      </c>
      <c r="U2221" s="1">
        <v>0</v>
      </c>
      <c r="V2221">
        <v>34.6</v>
      </c>
    </row>
    <row r="2222" spans="1:22" ht="15">
      <c r="A2222" s="4">
        <v>2215</v>
      </c>
      <c r="B2222">
        <v>1353</v>
      </c>
      <c r="C2222" t="s">
        <v>4830</v>
      </c>
      <c r="D2222" t="s">
        <v>26</v>
      </c>
      <c r="E2222" t="s">
        <v>11</v>
      </c>
      <c r="F2222" t="s">
        <v>4831</v>
      </c>
      <c r="G2222" t="str">
        <f>"00528161"</f>
        <v>00528161</v>
      </c>
      <c r="H2222">
        <v>21.6</v>
      </c>
      <c r="I2222">
        <v>0</v>
      </c>
      <c r="L2222">
        <v>4</v>
      </c>
      <c r="M2222">
        <v>4</v>
      </c>
      <c r="N2222">
        <v>4</v>
      </c>
      <c r="O2222">
        <v>2</v>
      </c>
      <c r="P2222">
        <v>31.6</v>
      </c>
      <c r="Q2222">
        <v>0</v>
      </c>
      <c r="R2222">
        <v>0</v>
      </c>
      <c r="S2222">
        <v>3</v>
      </c>
      <c r="T2222">
        <v>0</v>
      </c>
      <c r="U2222" s="1">
        <v>0</v>
      </c>
      <c r="V2222">
        <v>34.6</v>
      </c>
    </row>
    <row r="2223" spans="1:22" ht="15">
      <c r="A2223" s="4">
        <v>2216</v>
      </c>
      <c r="B2223">
        <v>2498</v>
      </c>
      <c r="C2223" t="s">
        <v>4832</v>
      </c>
      <c r="D2223" t="s">
        <v>4833</v>
      </c>
      <c r="E2223" t="s">
        <v>99</v>
      </c>
      <c r="F2223" t="s">
        <v>4834</v>
      </c>
      <c r="G2223" t="str">
        <f>"00500183"</f>
        <v>00500183</v>
      </c>
      <c r="H2223">
        <v>21.6</v>
      </c>
      <c r="I2223">
        <v>0</v>
      </c>
      <c r="M2223">
        <v>0</v>
      </c>
      <c r="N2223">
        <v>0</v>
      </c>
      <c r="O2223">
        <v>0</v>
      </c>
      <c r="P2223">
        <v>21.6</v>
      </c>
      <c r="Q2223">
        <v>7</v>
      </c>
      <c r="R2223">
        <v>7</v>
      </c>
      <c r="S2223">
        <v>6</v>
      </c>
      <c r="T2223">
        <v>0</v>
      </c>
      <c r="U2223" s="1">
        <v>0</v>
      </c>
      <c r="V2223">
        <v>34.6</v>
      </c>
    </row>
    <row r="2224" spans="1:22" ht="15">
      <c r="A2224" s="4">
        <v>2217</v>
      </c>
      <c r="B2224">
        <v>2154</v>
      </c>
      <c r="C2224" t="s">
        <v>4835</v>
      </c>
      <c r="D2224" t="s">
        <v>1407</v>
      </c>
      <c r="E2224" t="s">
        <v>11</v>
      </c>
      <c r="F2224" t="s">
        <v>4836</v>
      </c>
      <c r="G2224" t="str">
        <f>"00483943"</f>
        <v>00483943</v>
      </c>
      <c r="H2224">
        <v>21.6</v>
      </c>
      <c r="I2224">
        <v>0</v>
      </c>
      <c r="L2224">
        <v>4</v>
      </c>
      <c r="M2224">
        <v>0</v>
      </c>
      <c r="N2224">
        <v>4</v>
      </c>
      <c r="O2224">
        <v>0</v>
      </c>
      <c r="P2224">
        <v>25.6</v>
      </c>
      <c r="Q2224">
        <v>0</v>
      </c>
      <c r="R2224">
        <v>0</v>
      </c>
      <c r="S2224">
        <v>9</v>
      </c>
      <c r="T2224">
        <v>0</v>
      </c>
      <c r="U2224" s="1">
        <v>0</v>
      </c>
      <c r="V2224">
        <v>34.6</v>
      </c>
    </row>
    <row r="2225" spans="1:22" ht="15">
      <c r="A2225" s="4">
        <v>2218</v>
      </c>
      <c r="B2225">
        <v>970</v>
      </c>
      <c r="C2225" t="s">
        <v>4837</v>
      </c>
      <c r="D2225" t="s">
        <v>14</v>
      </c>
      <c r="E2225" t="s">
        <v>364</v>
      </c>
      <c r="F2225" t="s">
        <v>4838</v>
      </c>
      <c r="G2225" t="str">
        <f>"00103457"</f>
        <v>00103457</v>
      </c>
      <c r="H2225">
        <v>21.6</v>
      </c>
      <c r="I2225">
        <v>0</v>
      </c>
      <c r="L2225">
        <v>4</v>
      </c>
      <c r="M2225">
        <v>4</v>
      </c>
      <c r="N2225">
        <v>4</v>
      </c>
      <c r="O2225">
        <v>0</v>
      </c>
      <c r="P2225">
        <v>29.6</v>
      </c>
      <c r="Q2225">
        <v>5</v>
      </c>
      <c r="R2225">
        <v>5</v>
      </c>
      <c r="S2225">
        <v>0</v>
      </c>
      <c r="T2225">
        <v>0</v>
      </c>
      <c r="U2225" s="1">
        <v>0</v>
      </c>
      <c r="V2225">
        <v>34.6</v>
      </c>
    </row>
    <row r="2226" spans="1:22" ht="15">
      <c r="A2226" s="4">
        <v>2219</v>
      </c>
      <c r="B2226">
        <v>381</v>
      </c>
      <c r="C2226" t="s">
        <v>4839</v>
      </c>
      <c r="D2226" t="s">
        <v>76</v>
      </c>
      <c r="E2226" t="s">
        <v>11</v>
      </c>
      <c r="F2226" t="s">
        <v>4840</v>
      </c>
      <c r="G2226" t="str">
        <f>"00480265"</f>
        <v>00480265</v>
      </c>
      <c r="H2226">
        <v>22.56</v>
      </c>
      <c r="I2226">
        <v>0</v>
      </c>
      <c r="M2226">
        <v>4</v>
      </c>
      <c r="N2226">
        <v>0</v>
      </c>
      <c r="O2226">
        <v>0</v>
      </c>
      <c r="P2226">
        <v>26.56</v>
      </c>
      <c r="Q2226">
        <v>8</v>
      </c>
      <c r="R2226">
        <v>8</v>
      </c>
      <c r="S2226">
        <v>0</v>
      </c>
      <c r="T2226">
        <v>0</v>
      </c>
      <c r="U2226" s="1">
        <v>0</v>
      </c>
      <c r="V2226">
        <v>34.56</v>
      </c>
    </row>
    <row r="2227" spans="1:22" ht="15">
      <c r="A2227" s="4">
        <v>2220</v>
      </c>
      <c r="B2227">
        <v>2256</v>
      </c>
      <c r="C2227" t="s">
        <v>4841</v>
      </c>
      <c r="D2227" t="s">
        <v>130</v>
      </c>
      <c r="E2227" t="s">
        <v>11</v>
      </c>
      <c r="F2227" t="s">
        <v>4842</v>
      </c>
      <c r="G2227" t="str">
        <f>"00531868"</f>
        <v>00531868</v>
      </c>
      <c r="H2227">
        <v>20.4</v>
      </c>
      <c r="I2227">
        <v>10</v>
      </c>
      <c r="M2227">
        <v>4</v>
      </c>
      <c r="N2227">
        <v>0</v>
      </c>
      <c r="O2227">
        <v>0</v>
      </c>
      <c r="P2227">
        <v>34.4</v>
      </c>
      <c r="Q2227">
        <v>0</v>
      </c>
      <c r="R2227">
        <v>0</v>
      </c>
      <c r="S2227">
        <v>0</v>
      </c>
      <c r="T2227">
        <v>0</v>
      </c>
      <c r="U2227" s="1">
        <v>0</v>
      </c>
      <c r="V2227">
        <v>34.4</v>
      </c>
    </row>
    <row r="2228" spans="1:22" ht="15">
      <c r="A2228" s="4">
        <v>2221</v>
      </c>
      <c r="B2228">
        <v>1404</v>
      </c>
      <c r="C2228" t="s">
        <v>3730</v>
      </c>
      <c r="D2228" t="s">
        <v>477</v>
      </c>
      <c r="E2228" t="s">
        <v>327</v>
      </c>
      <c r="F2228" t="s">
        <v>4843</v>
      </c>
      <c r="G2228" t="str">
        <f>"201401001272"</f>
        <v>201401001272</v>
      </c>
      <c r="H2228">
        <v>14.4</v>
      </c>
      <c r="I2228">
        <v>10</v>
      </c>
      <c r="L2228">
        <v>4</v>
      </c>
      <c r="M2228">
        <v>4</v>
      </c>
      <c r="N2228">
        <v>4</v>
      </c>
      <c r="O2228">
        <v>2</v>
      </c>
      <c r="P2228">
        <v>34.4</v>
      </c>
      <c r="Q2228">
        <v>0</v>
      </c>
      <c r="R2228">
        <v>0</v>
      </c>
      <c r="S2228">
        <v>0</v>
      </c>
      <c r="T2228">
        <v>0</v>
      </c>
      <c r="U2228" s="1">
        <v>0</v>
      </c>
      <c r="V2228">
        <v>34.4</v>
      </c>
    </row>
    <row r="2229" spans="1:22" ht="15">
      <c r="A2229" s="4">
        <v>2222</v>
      </c>
      <c r="B2229">
        <v>1802</v>
      </c>
      <c r="C2229" t="s">
        <v>4844</v>
      </c>
      <c r="D2229" t="s">
        <v>958</v>
      </c>
      <c r="E2229" t="s">
        <v>83</v>
      </c>
      <c r="F2229" t="s">
        <v>4845</v>
      </c>
      <c r="G2229" t="str">
        <f>"00486261"</f>
        <v>00486261</v>
      </c>
      <c r="H2229">
        <v>14.4</v>
      </c>
      <c r="I2229">
        <v>0</v>
      </c>
      <c r="L2229">
        <v>4</v>
      </c>
      <c r="M2229">
        <v>4</v>
      </c>
      <c r="N2229">
        <v>4</v>
      </c>
      <c r="O2229">
        <v>0</v>
      </c>
      <c r="P2229">
        <v>22.4</v>
      </c>
      <c r="Q2229">
        <v>12</v>
      </c>
      <c r="R2229">
        <v>12</v>
      </c>
      <c r="S2229">
        <v>0</v>
      </c>
      <c r="T2229">
        <v>0</v>
      </c>
      <c r="U2229" s="1">
        <v>0</v>
      </c>
      <c r="V2229">
        <v>34.4</v>
      </c>
    </row>
    <row r="2230" spans="1:22" ht="15">
      <c r="A2230" s="4">
        <v>2223</v>
      </c>
      <c r="B2230">
        <v>2389</v>
      </c>
      <c r="C2230" t="s">
        <v>4846</v>
      </c>
      <c r="D2230" t="s">
        <v>40</v>
      </c>
      <c r="E2230" t="s">
        <v>11</v>
      </c>
      <c r="F2230" t="s">
        <v>4847</v>
      </c>
      <c r="G2230" t="str">
        <f>"00533979"</f>
        <v>00533979</v>
      </c>
      <c r="H2230">
        <v>26.4</v>
      </c>
      <c r="I2230">
        <v>0</v>
      </c>
      <c r="M2230">
        <v>0</v>
      </c>
      <c r="N2230">
        <v>0</v>
      </c>
      <c r="O2230">
        <v>2</v>
      </c>
      <c r="P2230">
        <v>28.4</v>
      </c>
      <c r="Q2230">
        <v>0</v>
      </c>
      <c r="R2230">
        <v>0</v>
      </c>
      <c r="S2230">
        <v>6</v>
      </c>
      <c r="T2230">
        <v>0</v>
      </c>
      <c r="U2230" s="1">
        <v>0</v>
      </c>
      <c r="V2230">
        <v>34.4</v>
      </c>
    </row>
    <row r="2231" spans="1:22" ht="15">
      <c r="A2231" s="4">
        <v>2224</v>
      </c>
      <c r="B2231">
        <v>3363</v>
      </c>
      <c r="C2231" t="s">
        <v>4848</v>
      </c>
      <c r="D2231" t="s">
        <v>14</v>
      </c>
      <c r="E2231" t="s">
        <v>157</v>
      </c>
      <c r="F2231" t="s">
        <v>4849</v>
      </c>
      <c r="G2231" t="str">
        <f>"00156577"</f>
        <v>00156577</v>
      </c>
      <c r="H2231">
        <v>14.4</v>
      </c>
      <c r="I2231">
        <v>10</v>
      </c>
      <c r="M2231">
        <v>4</v>
      </c>
      <c r="N2231">
        <v>0</v>
      </c>
      <c r="O2231">
        <v>0</v>
      </c>
      <c r="P2231">
        <v>28.4</v>
      </c>
      <c r="Q2231">
        <v>0</v>
      </c>
      <c r="R2231">
        <v>0</v>
      </c>
      <c r="S2231">
        <v>6</v>
      </c>
      <c r="T2231">
        <v>0</v>
      </c>
      <c r="U2231" s="1">
        <v>0</v>
      </c>
      <c r="V2231">
        <v>34.4</v>
      </c>
    </row>
    <row r="2232" spans="1:22" ht="15">
      <c r="A2232" s="4">
        <v>2225</v>
      </c>
      <c r="B2232">
        <v>296</v>
      </c>
      <c r="C2232" t="s">
        <v>4850</v>
      </c>
      <c r="D2232" t="s">
        <v>76</v>
      </c>
      <c r="E2232" t="s">
        <v>23</v>
      </c>
      <c r="F2232" t="s">
        <v>4851</v>
      </c>
      <c r="G2232" t="str">
        <f>"00530652"</f>
        <v>00530652</v>
      </c>
      <c r="H2232">
        <v>21.32</v>
      </c>
      <c r="I2232">
        <v>0</v>
      </c>
      <c r="M2232">
        <v>4</v>
      </c>
      <c r="N2232">
        <v>0</v>
      </c>
      <c r="O2232">
        <v>0</v>
      </c>
      <c r="P2232">
        <v>25.32</v>
      </c>
      <c r="Q2232">
        <v>0</v>
      </c>
      <c r="R2232">
        <v>0</v>
      </c>
      <c r="S2232">
        <v>9</v>
      </c>
      <c r="T2232">
        <v>0</v>
      </c>
      <c r="U2232" s="1">
        <v>0</v>
      </c>
      <c r="V2232">
        <v>34.32</v>
      </c>
    </row>
    <row r="2233" spans="1:22" ht="15">
      <c r="A2233" s="4">
        <v>2226</v>
      </c>
      <c r="B2233">
        <v>3114</v>
      </c>
      <c r="C2233" t="s">
        <v>974</v>
      </c>
      <c r="D2233" t="s">
        <v>179</v>
      </c>
      <c r="E2233" t="s">
        <v>644</v>
      </c>
      <c r="F2233" t="s">
        <v>4852</v>
      </c>
      <c r="G2233" t="str">
        <f>"00532659"</f>
        <v>00532659</v>
      </c>
      <c r="H2233">
        <v>27.28</v>
      </c>
      <c r="I2233">
        <v>0</v>
      </c>
      <c r="M2233">
        <v>4</v>
      </c>
      <c r="N2233">
        <v>0</v>
      </c>
      <c r="O2233">
        <v>0</v>
      </c>
      <c r="P2233">
        <v>31.28</v>
      </c>
      <c r="Q2233">
        <v>0</v>
      </c>
      <c r="R2233">
        <v>0</v>
      </c>
      <c r="S2233">
        <v>3</v>
      </c>
      <c r="T2233">
        <v>0</v>
      </c>
      <c r="U2233" s="1">
        <v>0</v>
      </c>
      <c r="V2233">
        <v>34.28</v>
      </c>
    </row>
    <row r="2234" spans="1:22" ht="15">
      <c r="A2234" s="4">
        <v>2227</v>
      </c>
      <c r="B2234">
        <v>1296</v>
      </c>
      <c r="C2234" t="s">
        <v>4853</v>
      </c>
      <c r="D2234" t="s">
        <v>89</v>
      </c>
      <c r="E2234" t="s">
        <v>499</v>
      </c>
      <c r="F2234" t="s">
        <v>4854</v>
      </c>
      <c r="G2234" t="str">
        <f>"00400218"</f>
        <v>00400218</v>
      </c>
      <c r="H2234">
        <v>21.08</v>
      </c>
      <c r="I2234">
        <v>10</v>
      </c>
      <c r="M2234">
        <v>0</v>
      </c>
      <c r="N2234">
        <v>0</v>
      </c>
      <c r="O2234">
        <v>0</v>
      </c>
      <c r="P2234">
        <v>31.08</v>
      </c>
      <c r="Q2234">
        <v>0</v>
      </c>
      <c r="R2234">
        <v>0</v>
      </c>
      <c r="S2234">
        <v>3</v>
      </c>
      <c r="T2234">
        <v>0</v>
      </c>
      <c r="U2234" s="1">
        <v>0</v>
      </c>
      <c r="V2234">
        <v>34.08</v>
      </c>
    </row>
    <row r="2235" spans="1:22" ht="15">
      <c r="A2235" s="4">
        <v>2228</v>
      </c>
      <c r="B2235">
        <v>972</v>
      </c>
      <c r="C2235" t="s">
        <v>4855</v>
      </c>
      <c r="D2235" t="s">
        <v>14</v>
      </c>
      <c r="E2235" t="s">
        <v>19</v>
      </c>
      <c r="F2235" t="s">
        <v>4856</v>
      </c>
      <c r="G2235" t="str">
        <f>"00518853"</f>
        <v>00518853</v>
      </c>
      <c r="H2235">
        <v>27.08</v>
      </c>
      <c r="I2235">
        <v>0</v>
      </c>
      <c r="M2235">
        <v>4</v>
      </c>
      <c r="N2235">
        <v>0</v>
      </c>
      <c r="O2235">
        <v>0</v>
      </c>
      <c r="P2235">
        <v>31.08</v>
      </c>
      <c r="Q2235">
        <v>0</v>
      </c>
      <c r="R2235">
        <v>0</v>
      </c>
      <c r="S2235">
        <v>3</v>
      </c>
      <c r="T2235">
        <v>0</v>
      </c>
      <c r="U2235" s="1">
        <v>0</v>
      </c>
      <c r="V2235">
        <v>34.08</v>
      </c>
    </row>
    <row r="2236" spans="1:22" ht="15">
      <c r="A2236" s="4">
        <v>2229</v>
      </c>
      <c r="B2236">
        <v>236</v>
      </c>
      <c r="C2236" t="s">
        <v>4857</v>
      </c>
      <c r="D2236" t="s">
        <v>4858</v>
      </c>
      <c r="E2236" t="s">
        <v>557</v>
      </c>
      <c r="F2236" t="s">
        <v>4859</v>
      </c>
      <c r="G2236" t="str">
        <f>"00070403"</f>
        <v>00070403</v>
      </c>
      <c r="H2236">
        <v>31.08</v>
      </c>
      <c r="I2236">
        <v>0</v>
      </c>
      <c r="M2236">
        <v>0</v>
      </c>
      <c r="N2236">
        <v>0</v>
      </c>
      <c r="O2236">
        <v>0</v>
      </c>
      <c r="P2236">
        <v>31.08</v>
      </c>
      <c r="Q2236">
        <v>0</v>
      </c>
      <c r="R2236">
        <v>0</v>
      </c>
      <c r="S2236">
        <v>3</v>
      </c>
      <c r="T2236">
        <v>0</v>
      </c>
      <c r="U2236" s="1">
        <v>0</v>
      </c>
      <c r="V2236">
        <v>34.08</v>
      </c>
    </row>
    <row r="2237" spans="1:22" ht="15">
      <c r="A2237" s="4">
        <v>2230</v>
      </c>
      <c r="B2237">
        <v>2941</v>
      </c>
      <c r="C2237" t="s">
        <v>4860</v>
      </c>
      <c r="D2237" t="s">
        <v>280</v>
      </c>
      <c r="E2237" t="s">
        <v>4861</v>
      </c>
      <c r="F2237" t="s">
        <v>4862</v>
      </c>
      <c r="G2237" t="str">
        <f>"00534310"</f>
        <v>00534310</v>
      </c>
      <c r="H2237">
        <v>24</v>
      </c>
      <c r="I2237">
        <v>0</v>
      </c>
      <c r="M2237">
        <v>4</v>
      </c>
      <c r="N2237">
        <v>0</v>
      </c>
      <c r="O2237">
        <v>0</v>
      </c>
      <c r="P2237">
        <v>28</v>
      </c>
      <c r="Q2237">
        <v>0</v>
      </c>
      <c r="R2237">
        <v>0</v>
      </c>
      <c r="S2237">
        <v>6</v>
      </c>
      <c r="T2237">
        <v>0</v>
      </c>
      <c r="U2237" s="1">
        <v>0</v>
      </c>
      <c r="V2237">
        <v>34</v>
      </c>
    </row>
    <row r="2238" spans="1:22" ht="15">
      <c r="A2238" s="4">
        <v>2231</v>
      </c>
      <c r="B2238">
        <v>2722</v>
      </c>
      <c r="C2238" t="s">
        <v>4863</v>
      </c>
      <c r="D2238" t="s">
        <v>4864</v>
      </c>
      <c r="E2238" t="s">
        <v>19</v>
      </c>
      <c r="F2238" t="s">
        <v>4865</v>
      </c>
      <c r="G2238" t="str">
        <f>"00496946"</f>
        <v>00496946</v>
      </c>
      <c r="H2238">
        <v>0</v>
      </c>
      <c r="I2238">
        <v>10</v>
      </c>
      <c r="L2238">
        <v>4</v>
      </c>
      <c r="M2238">
        <v>4</v>
      </c>
      <c r="N2238">
        <v>4</v>
      </c>
      <c r="O2238">
        <v>0</v>
      </c>
      <c r="P2238">
        <v>18</v>
      </c>
      <c r="Q2238">
        <v>16</v>
      </c>
      <c r="R2238">
        <v>16</v>
      </c>
      <c r="S2238">
        <v>0</v>
      </c>
      <c r="T2238">
        <v>0</v>
      </c>
      <c r="U2238" s="1">
        <v>0</v>
      </c>
      <c r="V2238">
        <v>34</v>
      </c>
    </row>
    <row r="2239" spans="1:22" ht="15">
      <c r="A2239" s="4">
        <v>2232</v>
      </c>
      <c r="B2239">
        <v>1805</v>
      </c>
      <c r="C2239" t="s">
        <v>725</v>
      </c>
      <c r="D2239" t="s">
        <v>173</v>
      </c>
      <c r="E2239" t="s">
        <v>19</v>
      </c>
      <c r="F2239" t="s">
        <v>4866</v>
      </c>
      <c r="G2239" t="str">
        <f>"00442048"</f>
        <v>00442048</v>
      </c>
      <c r="H2239">
        <v>28</v>
      </c>
      <c r="I2239">
        <v>0</v>
      </c>
      <c r="M2239">
        <v>0</v>
      </c>
      <c r="N2239">
        <v>0</v>
      </c>
      <c r="O2239">
        <v>0</v>
      </c>
      <c r="P2239">
        <v>28</v>
      </c>
      <c r="Q2239">
        <v>0</v>
      </c>
      <c r="R2239">
        <v>0</v>
      </c>
      <c r="S2239">
        <v>6</v>
      </c>
      <c r="T2239">
        <v>0</v>
      </c>
      <c r="U2239" s="1">
        <v>0</v>
      </c>
      <c r="V2239">
        <v>34</v>
      </c>
    </row>
    <row r="2240" spans="1:22" ht="15">
      <c r="A2240" s="4">
        <v>2233</v>
      </c>
      <c r="B2240">
        <v>570</v>
      </c>
      <c r="C2240" t="s">
        <v>4867</v>
      </c>
      <c r="D2240" t="s">
        <v>1202</v>
      </c>
      <c r="E2240" t="s">
        <v>4868</v>
      </c>
      <c r="F2240" t="s">
        <v>4869</v>
      </c>
      <c r="G2240" t="str">
        <f>"00521240"</f>
        <v>00521240</v>
      </c>
      <c r="H2240">
        <v>25</v>
      </c>
      <c r="I2240">
        <v>0</v>
      </c>
      <c r="M2240">
        <v>0</v>
      </c>
      <c r="N2240">
        <v>0</v>
      </c>
      <c r="O2240">
        <v>0</v>
      </c>
      <c r="P2240">
        <v>25</v>
      </c>
      <c r="Q2240">
        <v>0</v>
      </c>
      <c r="R2240">
        <v>0</v>
      </c>
      <c r="S2240">
        <v>9</v>
      </c>
      <c r="T2240">
        <v>0</v>
      </c>
      <c r="U2240" s="1">
        <v>0</v>
      </c>
      <c r="V2240">
        <v>34</v>
      </c>
    </row>
    <row r="2241" spans="1:22" ht="15">
      <c r="A2241" s="4">
        <v>2234</v>
      </c>
      <c r="B2241">
        <v>2387</v>
      </c>
      <c r="C2241" t="s">
        <v>4870</v>
      </c>
      <c r="D2241" t="s">
        <v>643</v>
      </c>
      <c r="E2241" t="s">
        <v>83</v>
      </c>
      <c r="F2241" t="s">
        <v>4871</v>
      </c>
      <c r="G2241" t="str">
        <f>"00531584"</f>
        <v>00531584</v>
      </c>
      <c r="H2241">
        <v>30</v>
      </c>
      <c r="I2241">
        <v>0</v>
      </c>
      <c r="M2241">
        <v>4</v>
      </c>
      <c r="N2241">
        <v>0</v>
      </c>
      <c r="O2241">
        <v>0</v>
      </c>
      <c r="P2241">
        <v>34</v>
      </c>
      <c r="Q2241">
        <v>0</v>
      </c>
      <c r="R2241">
        <v>0</v>
      </c>
      <c r="S2241">
        <v>0</v>
      </c>
      <c r="T2241">
        <v>0</v>
      </c>
      <c r="U2241" s="1">
        <v>0</v>
      </c>
      <c r="V2241">
        <v>34</v>
      </c>
    </row>
    <row r="2242" spans="1:22" ht="15">
      <c r="A2242" s="4">
        <v>2235</v>
      </c>
      <c r="B2242">
        <v>864</v>
      </c>
      <c r="C2242" t="s">
        <v>4872</v>
      </c>
      <c r="D2242" t="s">
        <v>40</v>
      </c>
      <c r="E2242" t="s">
        <v>19</v>
      </c>
      <c r="F2242" t="s">
        <v>4873</v>
      </c>
      <c r="G2242" t="str">
        <f>"00530560"</f>
        <v>00530560</v>
      </c>
      <c r="H2242">
        <v>0</v>
      </c>
      <c r="I2242">
        <v>0</v>
      </c>
      <c r="L2242">
        <v>4</v>
      </c>
      <c r="M2242">
        <v>4</v>
      </c>
      <c r="N2242">
        <v>4</v>
      </c>
      <c r="O2242">
        <v>0</v>
      </c>
      <c r="P2242">
        <v>8</v>
      </c>
      <c r="Q2242">
        <v>26</v>
      </c>
      <c r="R2242">
        <v>26</v>
      </c>
      <c r="S2242">
        <v>0</v>
      </c>
      <c r="T2242">
        <v>0</v>
      </c>
      <c r="U2242" s="1">
        <v>0</v>
      </c>
      <c r="V2242">
        <v>34</v>
      </c>
    </row>
    <row r="2243" spans="1:22" ht="15">
      <c r="A2243" s="4">
        <v>2236</v>
      </c>
      <c r="B2243">
        <v>1581</v>
      </c>
      <c r="C2243" t="s">
        <v>4874</v>
      </c>
      <c r="D2243" t="s">
        <v>4875</v>
      </c>
      <c r="E2243" t="s">
        <v>4876</v>
      </c>
      <c r="F2243" t="s">
        <v>4877</v>
      </c>
      <c r="G2243" t="str">
        <f>"00509740"</f>
        <v>00509740</v>
      </c>
      <c r="H2243">
        <v>30</v>
      </c>
      <c r="I2243">
        <v>0</v>
      </c>
      <c r="M2243">
        <v>4</v>
      </c>
      <c r="N2243">
        <v>0</v>
      </c>
      <c r="O2243">
        <v>0</v>
      </c>
      <c r="P2243">
        <v>34</v>
      </c>
      <c r="Q2243">
        <v>0</v>
      </c>
      <c r="R2243">
        <v>0</v>
      </c>
      <c r="S2243">
        <v>0</v>
      </c>
      <c r="T2243">
        <v>0</v>
      </c>
      <c r="U2243" s="1">
        <v>0</v>
      </c>
      <c r="V2243">
        <v>34</v>
      </c>
    </row>
    <row r="2244" spans="1:22" ht="15">
      <c r="A2244" s="4">
        <v>2237</v>
      </c>
      <c r="B2244">
        <v>455</v>
      </c>
      <c r="C2244" t="s">
        <v>4878</v>
      </c>
      <c r="D2244" t="s">
        <v>810</v>
      </c>
      <c r="E2244" t="s">
        <v>90</v>
      </c>
      <c r="F2244" t="s">
        <v>4879</v>
      </c>
      <c r="G2244" t="str">
        <f>"00529894"</f>
        <v>00529894</v>
      </c>
      <c r="H2244">
        <v>34</v>
      </c>
      <c r="I2244">
        <v>0</v>
      </c>
      <c r="M2244">
        <v>0</v>
      </c>
      <c r="N2244">
        <v>0</v>
      </c>
      <c r="O2244">
        <v>0</v>
      </c>
      <c r="P2244">
        <v>34</v>
      </c>
      <c r="Q2244">
        <v>0</v>
      </c>
      <c r="R2244">
        <v>0</v>
      </c>
      <c r="S2244">
        <v>0</v>
      </c>
      <c r="T2244">
        <v>0</v>
      </c>
      <c r="U2244" s="1">
        <v>0</v>
      </c>
      <c r="V2244">
        <v>34</v>
      </c>
    </row>
    <row r="2245" spans="1:22" ht="15">
      <c r="A2245" s="4">
        <v>2238</v>
      </c>
      <c r="B2245">
        <v>1751</v>
      </c>
      <c r="C2245" t="s">
        <v>4880</v>
      </c>
      <c r="D2245" t="s">
        <v>40</v>
      </c>
      <c r="E2245" t="s">
        <v>59</v>
      </c>
      <c r="F2245" t="s">
        <v>4881</v>
      </c>
      <c r="G2245" t="str">
        <f>"00513845"</f>
        <v>00513845</v>
      </c>
      <c r="H2245">
        <v>22.92</v>
      </c>
      <c r="I2245">
        <v>0</v>
      </c>
      <c r="M2245">
        <v>0</v>
      </c>
      <c r="N2245">
        <v>0</v>
      </c>
      <c r="O2245">
        <v>0</v>
      </c>
      <c r="P2245">
        <v>22.92</v>
      </c>
      <c r="Q2245">
        <v>5</v>
      </c>
      <c r="R2245">
        <v>5</v>
      </c>
      <c r="S2245">
        <v>6</v>
      </c>
      <c r="T2245">
        <v>0</v>
      </c>
      <c r="U2245" s="1">
        <v>0</v>
      </c>
      <c r="V2245">
        <v>33.92</v>
      </c>
    </row>
    <row r="2246" spans="1:22" ht="15">
      <c r="A2246" s="4">
        <v>2239</v>
      </c>
      <c r="B2246">
        <v>831</v>
      </c>
      <c r="C2246" t="s">
        <v>4882</v>
      </c>
      <c r="D2246" t="s">
        <v>14</v>
      </c>
      <c r="E2246" t="s">
        <v>23</v>
      </c>
      <c r="F2246" t="s">
        <v>4883</v>
      </c>
      <c r="G2246" t="str">
        <f>"00524465"</f>
        <v>00524465</v>
      </c>
      <c r="H2246">
        <v>28.8</v>
      </c>
      <c r="I2246">
        <v>0</v>
      </c>
      <c r="M2246">
        <v>0</v>
      </c>
      <c r="N2246">
        <v>0</v>
      </c>
      <c r="O2246">
        <v>2</v>
      </c>
      <c r="P2246">
        <v>30.8</v>
      </c>
      <c r="Q2246">
        <v>0</v>
      </c>
      <c r="R2246">
        <v>0</v>
      </c>
      <c r="S2246">
        <v>3</v>
      </c>
      <c r="T2246">
        <v>0</v>
      </c>
      <c r="U2246" s="1">
        <v>0</v>
      </c>
      <c r="V2246">
        <v>33.8</v>
      </c>
    </row>
    <row r="2247" spans="1:22" ht="15">
      <c r="A2247" s="4">
        <v>2240</v>
      </c>
      <c r="B2247">
        <v>2185</v>
      </c>
      <c r="C2247" t="s">
        <v>4884</v>
      </c>
      <c r="D2247" t="s">
        <v>958</v>
      </c>
      <c r="E2247" t="s">
        <v>317</v>
      </c>
      <c r="F2247" t="s">
        <v>4885</v>
      </c>
      <c r="G2247" t="str">
        <f>"00531919"</f>
        <v>00531919</v>
      </c>
      <c r="H2247">
        <v>29.6</v>
      </c>
      <c r="I2247">
        <v>0</v>
      </c>
      <c r="M2247">
        <v>4</v>
      </c>
      <c r="N2247">
        <v>0</v>
      </c>
      <c r="O2247">
        <v>0</v>
      </c>
      <c r="P2247">
        <v>33.6</v>
      </c>
      <c r="Q2247">
        <v>0</v>
      </c>
      <c r="R2247">
        <v>0</v>
      </c>
      <c r="S2247">
        <v>0</v>
      </c>
      <c r="T2247">
        <v>0</v>
      </c>
      <c r="U2247" s="1">
        <v>0</v>
      </c>
      <c r="V2247">
        <v>33.6</v>
      </c>
    </row>
    <row r="2248" spans="1:22" ht="15">
      <c r="A2248" s="4">
        <v>2241</v>
      </c>
      <c r="B2248">
        <v>2549</v>
      </c>
      <c r="C2248" t="s">
        <v>4886</v>
      </c>
      <c r="D2248" t="s">
        <v>156</v>
      </c>
      <c r="E2248" t="s">
        <v>11</v>
      </c>
      <c r="F2248" t="s">
        <v>4887</v>
      </c>
      <c r="G2248" t="str">
        <f>"00512524"</f>
        <v>00512524</v>
      </c>
      <c r="H2248">
        <v>21.6</v>
      </c>
      <c r="I2248">
        <v>0</v>
      </c>
      <c r="M2248">
        <v>4</v>
      </c>
      <c r="N2248">
        <v>0</v>
      </c>
      <c r="O2248">
        <v>0</v>
      </c>
      <c r="P2248">
        <v>25.6</v>
      </c>
      <c r="Q2248">
        <v>8</v>
      </c>
      <c r="R2248">
        <v>8</v>
      </c>
      <c r="S2248">
        <v>0</v>
      </c>
      <c r="T2248">
        <v>0</v>
      </c>
      <c r="U2248" s="1">
        <v>0</v>
      </c>
      <c r="V2248">
        <v>33.6</v>
      </c>
    </row>
    <row r="2249" spans="1:22" ht="15">
      <c r="A2249" s="4">
        <v>2242</v>
      </c>
      <c r="B2249">
        <v>1573</v>
      </c>
      <c r="C2249" t="s">
        <v>1442</v>
      </c>
      <c r="D2249" t="s">
        <v>14</v>
      </c>
      <c r="E2249" t="s">
        <v>99</v>
      </c>
      <c r="F2249" t="s">
        <v>4888</v>
      </c>
      <c r="G2249" t="str">
        <f>"20160705472"</f>
        <v>20160705472</v>
      </c>
      <c r="H2249">
        <v>21.6</v>
      </c>
      <c r="I2249">
        <v>0</v>
      </c>
      <c r="M2249">
        <v>4</v>
      </c>
      <c r="N2249">
        <v>0</v>
      </c>
      <c r="O2249">
        <v>0</v>
      </c>
      <c r="P2249">
        <v>25.6</v>
      </c>
      <c r="Q2249">
        <v>5</v>
      </c>
      <c r="R2249">
        <v>5</v>
      </c>
      <c r="S2249">
        <v>3</v>
      </c>
      <c r="T2249">
        <v>0</v>
      </c>
      <c r="U2249" s="1">
        <v>0</v>
      </c>
      <c r="V2249">
        <v>33.6</v>
      </c>
    </row>
    <row r="2250" spans="1:22" ht="15">
      <c r="A2250" s="4">
        <v>2243</v>
      </c>
      <c r="B2250">
        <v>2124</v>
      </c>
      <c r="C2250" t="s">
        <v>4889</v>
      </c>
      <c r="D2250" t="s">
        <v>496</v>
      </c>
      <c r="E2250" t="s">
        <v>90</v>
      </c>
      <c r="F2250" t="s">
        <v>4890</v>
      </c>
      <c r="G2250" t="str">
        <f>"00083617"</f>
        <v>00083617</v>
      </c>
      <c r="H2250">
        <v>26.56</v>
      </c>
      <c r="I2250">
        <v>0</v>
      </c>
      <c r="M2250">
        <v>0</v>
      </c>
      <c r="N2250">
        <v>0</v>
      </c>
      <c r="O2250">
        <v>0</v>
      </c>
      <c r="P2250">
        <v>26.56</v>
      </c>
      <c r="Q2250">
        <v>1</v>
      </c>
      <c r="R2250">
        <v>1</v>
      </c>
      <c r="S2250">
        <v>6</v>
      </c>
      <c r="T2250">
        <v>0</v>
      </c>
      <c r="U2250" s="1">
        <v>0</v>
      </c>
      <c r="V2250">
        <v>33.56</v>
      </c>
    </row>
    <row r="2251" spans="1:22" ht="15">
      <c r="A2251" s="4">
        <v>2244</v>
      </c>
      <c r="B2251">
        <v>1552</v>
      </c>
      <c r="C2251" t="s">
        <v>4891</v>
      </c>
      <c r="D2251" t="s">
        <v>179</v>
      </c>
      <c r="E2251" t="s">
        <v>157</v>
      </c>
      <c r="F2251" t="s">
        <v>4892</v>
      </c>
      <c r="G2251" t="str">
        <f>"200806000074"</f>
        <v>200806000074</v>
      </c>
      <c r="H2251">
        <v>23.4</v>
      </c>
      <c r="I2251">
        <v>0</v>
      </c>
      <c r="M2251">
        <v>4</v>
      </c>
      <c r="N2251">
        <v>0</v>
      </c>
      <c r="O2251">
        <v>0</v>
      </c>
      <c r="P2251">
        <v>27.4</v>
      </c>
      <c r="Q2251">
        <v>0</v>
      </c>
      <c r="R2251">
        <v>0</v>
      </c>
      <c r="S2251">
        <v>6</v>
      </c>
      <c r="T2251">
        <v>0</v>
      </c>
      <c r="U2251" s="1">
        <v>0</v>
      </c>
      <c r="V2251">
        <v>33.4</v>
      </c>
    </row>
    <row r="2252" spans="1:22" ht="15">
      <c r="A2252" s="4">
        <v>2245</v>
      </c>
      <c r="B2252">
        <v>216</v>
      </c>
      <c r="C2252" t="s">
        <v>4893</v>
      </c>
      <c r="D2252" t="s">
        <v>643</v>
      </c>
      <c r="E2252" t="s">
        <v>19</v>
      </c>
      <c r="F2252" t="s">
        <v>4894</v>
      </c>
      <c r="G2252" t="str">
        <f>"00509845"</f>
        <v>00509845</v>
      </c>
      <c r="H2252">
        <v>14.4</v>
      </c>
      <c r="I2252">
        <v>0</v>
      </c>
      <c r="L2252">
        <v>4</v>
      </c>
      <c r="M2252">
        <v>4</v>
      </c>
      <c r="N2252">
        <v>4</v>
      </c>
      <c r="O2252">
        <v>0</v>
      </c>
      <c r="P2252">
        <v>22.4</v>
      </c>
      <c r="Q2252">
        <v>11</v>
      </c>
      <c r="R2252">
        <v>11</v>
      </c>
      <c r="S2252">
        <v>0</v>
      </c>
      <c r="T2252">
        <v>0</v>
      </c>
      <c r="U2252" s="1">
        <v>0</v>
      </c>
      <c r="V2252">
        <v>33.4</v>
      </c>
    </row>
    <row r="2253" spans="1:22" ht="15">
      <c r="A2253" s="4">
        <v>2246</v>
      </c>
      <c r="B2253">
        <v>3273</v>
      </c>
      <c r="C2253" t="s">
        <v>4895</v>
      </c>
      <c r="D2253" t="s">
        <v>1296</v>
      </c>
      <c r="E2253" t="s">
        <v>73</v>
      </c>
      <c r="F2253" t="s">
        <v>4896</v>
      </c>
      <c r="G2253" t="str">
        <f>"00527567"</f>
        <v>00527567</v>
      </c>
      <c r="H2253">
        <v>14.4</v>
      </c>
      <c r="I2253">
        <v>10</v>
      </c>
      <c r="M2253">
        <v>0</v>
      </c>
      <c r="N2253">
        <v>0</v>
      </c>
      <c r="O2253">
        <v>0</v>
      </c>
      <c r="P2253">
        <v>24.4</v>
      </c>
      <c r="Q2253">
        <v>0</v>
      </c>
      <c r="R2253">
        <v>0</v>
      </c>
      <c r="S2253">
        <v>9</v>
      </c>
      <c r="T2253">
        <v>0</v>
      </c>
      <c r="U2253" s="1">
        <v>0</v>
      </c>
      <c r="V2253">
        <v>33.4</v>
      </c>
    </row>
    <row r="2254" spans="1:22" ht="15">
      <c r="A2254" s="4">
        <v>2247</v>
      </c>
      <c r="B2254">
        <v>1506</v>
      </c>
      <c r="C2254" t="s">
        <v>4897</v>
      </c>
      <c r="D2254" t="s">
        <v>179</v>
      </c>
      <c r="E2254" t="s">
        <v>344</v>
      </c>
      <c r="F2254" t="s">
        <v>4898</v>
      </c>
      <c r="G2254" t="str">
        <f>"00530817"</f>
        <v>00530817</v>
      </c>
      <c r="H2254">
        <v>14.4</v>
      </c>
      <c r="I2254">
        <v>0</v>
      </c>
      <c r="M2254">
        <v>4</v>
      </c>
      <c r="N2254">
        <v>0</v>
      </c>
      <c r="O2254">
        <v>2</v>
      </c>
      <c r="P2254">
        <v>20.4</v>
      </c>
      <c r="Q2254">
        <v>13</v>
      </c>
      <c r="R2254">
        <v>13</v>
      </c>
      <c r="S2254">
        <v>0</v>
      </c>
      <c r="T2254">
        <v>0</v>
      </c>
      <c r="U2254" s="1">
        <v>0</v>
      </c>
      <c r="V2254">
        <v>33.4</v>
      </c>
    </row>
    <row r="2255" spans="1:22" ht="15">
      <c r="A2255" s="4">
        <v>2248</v>
      </c>
      <c r="B2255">
        <v>2127</v>
      </c>
      <c r="C2255" t="s">
        <v>4899</v>
      </c>
      <c r="D2255" t="s">
        <v>4900</v>
      </c>
      <c r="E2255" t="s">
        <v>317</v>
      </c>
      <c r="F2255" t="s">
        <v>4901</v>
      </c>
      <c r="G2255" t="str">
        <f>"00141640"</f>
        <v>00141640</v>
      </c>
      <c r="H2255">
        <v>14.4</v>
      </c>
      <c r="I2255">
        <v>0</v>
      </c>
      <c r="L2255">
        <v>4</v>
      </c>
      <c r="M2255">
        <v>4</v>
      </c>
      <c r="N2255">
        <v>4</v>
      </c>
      <c r="O2255">
        <v>2</v>
      </c>
      <c r="P2255">
        <v>24.4</v>
      </c>
      <c r="Q2255">
        <v>0</v>
      </c>
      <c r="R2255">
        <v>0</v>
      </c>
      <c r="S2255">
        <v>9</v>
      </c>
      <c r="T2255">
        <v>0</v>
      </c>
      <c r="U2255" s="1">
        <v>0</v>
      </c>
      <c r="V2255">
        <v>33.4</v>
      </c>
    </row>
    <row r="2256" spans="1:22" ht="15">
      <c r="A2256" s="4">
        <v>2249</v>
      </c>
      <c r="B2256">
        <v>3015</v>
      </c>
      <c r="C2256" t="s">
        <v>4902</v>
      </c>
      <c r="D2256" t="s">
        <v>82</v>
      </c>
      <c r="E2256" t="s">
        <v>15</v>
      </c>
      <c r="F2256" t="s">
        <v>4903</v>
      </c>
      <c r="G2256" t="str">
        <f>"00482223"</f>
        <v>00482223</v>
      </c>
      <c r="H2256">
        <v>23.28</v>
      </c>
      <c r="I2256">
        <v>0</v>
      </c>
      <c r="M2256">
        <v>4</v>
      </c>
      <c r="N2256">
        <v>0</v>
      </c>
      <c r="O2256">
        <v>0</v>
      </c>
      <c r="P2256">
        <v>27.28</v>
      </c>
      <c r="Q2256">
        <v>6</v>
      </c>
      <c r="R2256">
        <v>6</v>
      </c>
      <c r="S2256">
        <v>0</v>
      </c>
      <c r="T2256">
        <v>0</v>
      </c>
      <c r="U2256" s="1">
        <v>0</v>
      </c>
      <c r="V2256">
        <v>33.28</v>
      </c>
    </row>
    <row r="2257" spans="1:22" ht="15">
      <c r="A2257" s="4">
        <v>2250</v>
      </c>
      <c r="B2257">
        <v>2098</v>
      </c>
      <c r="C2257" t="s">
        <v>4904</v>
      </c>
      <c r="D2257" t="s">
        <v>222</v>
      </c>
      <c r="E2257" t="s">
        <v>90</v>
      </c>
      <c r="F2257" t="s">
        <v>4905</v>
      </c>
      <c r="G2257" t="str">
        <f>"00531730"</f>
        <v>00531730</v>
      </c>
      <c r="H2257">
        <v>25.2</v>
      </c>
      <c r="I2257">
        <v>0</v>
      </c>
      <c r="L2257">
        <v>4</v>
      </c>
      <c r="M2257">
        <v>4</v>
      </c>
      <c r="N2257">
        <v>4</v>
      </c>
      <c r="O2257">
        <v>0</v>
      </c>
      <c r="P2257">
        <v>33.2</v>
      </c>
      <c r="Q2257">
        <v>0</v>
      </c>
      <c r="R2257">
        <v>0</v>
      </c>
      <c r="S2257">
        <v>0</v>
      </c>
      <c r="T2257">
        <v>0</v>
      </c>
      <c r="U2257" s="1">
        <v>0</v>
      </c>
      <c r="V2257">
        <v>33.2</v>
      </c>
    </row>
    <row r="2258" spans="1:22" ht="15">
      <c r="A2258" s="4">
        <v>2251</v>
      </c>
      <c r="B2258">
        <v>1026</v>
      </c>
      <c r="C2258" t="s">
        <v>4906</v>
      </c>
      <c r="D2258" t="s">
        <v>89</v>
      </c>
      <c r="E2258" t="s">
        <v>23</v>
      </c>
      <c r="F2258" t="s">
        <v>4907</v>
      </c>
      <c r="G2258" t="str">
        <f>"00531331"</f>
        <v>00531331</v>
      </c>
      <c r="H2258">
        <v>18.16</v>
      </c>
      <c r="I2258">
        <v>0</v>
      </c>
      <c r="M2258">
        <v>4</v>
      </c>
      <c r="N2258">
        <v>0</v>
      </c>
      <c r="O2258">
        <v>0</v>
      </c>
      <c r="P2258">
        <v>22.16</v>
      </c>
      <c r="Q2258">
        <v>5</v>
      </c>
      <c r="R2258">
        <v>5</v>
      </c>
      <c r="S2258">
        <v>6</v>
      </c>
      <c r="T2258">
        <v>0</v>
      </c>
      <c r="U2258" s="1">
        <v>0</v>
      </c>
      <c r="V2258">
        <v>33.16</v>
      </c>
    </row>
    <row r="2259" spans="1:22" ht="15">
      <c r="A2259" s="4">
        <v>2252</v>
      </c>
      <c r="B2259">
        <v>3334</v>
      </c>
      <c r="C2259" t="s">
        <v>4908</v>
      </c>
      <c r="D2259" t="s">
        <v>121</v>
      </c>
      <c r="E2259" t="s">
        <v>514</v>
      </c>
      <c r="F2259" t="s">
        <v>4909</v>
      </c>
      <c r="G2259" t="str">
        <f>"00532238"</f>
        <v>00532238</v>
      </c>
      <c r="H2259">
        <v>33.08</v>
      </c>
      <c r="I2259">
        <v>0</v>
      </c>
      <c r="M2259">
        <v>0</v>
      </c>
      <c r="N2259">
        <v>0</v>
      </c>
      <c r="O2259">
        <v>0</v>
      </c>
      <c r="P2259">
        <v>33.08</v>
      </c>
      <c r="Q2259">
        <v>0</v>
      </c>
      <c r="R2259">
        <v>0</v>
      </c>
      <c r="S2259">
        <v>0</v>
      </c>
      <c r="T2259">
        <v>0</v>
      </c>
      <c r="U2259" s="1">
        <v>0</v>
      </c>
      <c r="V2259">
        <v>33.08</v>
      </c>
    </row>
    <row r="2260" spans="1:22" ht="15">
      <c r="A2260" s="4">
        <v>2253</v>
      </c>
      <c r="B2260">
        <v>3318</v>
      </c>
      <c r="C2260" t="s">
        <v>4910</v>
      </c>
      <c r="D2260" t="s">
        <v>102</v>
      </c>
      <c r="E2260" t="s">
        <v>4911</v>
      </c>
      <c r="F2260" t="s">
        <v>4912</v>
      </c>
      <c r="G2260" t="str">
        <f>"00533096"</f>
        <v>00533096</v>
      </c>
      <c r="H2260">
        <v>0</v>
      </c>
      <c r="I2260">
        <v>0</v>
      </c>
      <c r="M2260">
        <v>0</v>
      </c>
      <c r="N2260">
        <v>0</v>
      </c>
      <c r="O2260">
        <v>2</v>
      </c>
      <c r="P2260">
        <v>2</v>
      </c>
      <c r="Q2260">
        <v>31</v>
      </c>
      <c r="R2260">
        <v>31</v>
      </c>
      <c r="S2260">
        <v>0</v>
      </c>
      <c r="T2260">
        <v>0</v>
      </c>
      <c r="U2260" s="1">
        <v>0</v>
      </c>
      <c r="V2260">
        <v>33</v>
      </c>
    </row>
    <row r="2261" spans="1:22" ht="15">
      <c r="A2261" s="4">
        <v>2254</v>
      </c>
      <c r="B2261">
        <v>315</v>
      </c>
      <c r="C2261" t="s">
        <v>1701</v>
      </c>
      <c r="D2261" t="s">
        <v>189</v>
      </c>
      <c r="E2261" t="s">
        <v>1299</v>
      </c>
      <c r="F2261" t="s">
        <v>4913</v>
      </c>
      <c r="G2261" t="str">
        <f>"00532634"</f>
        <v>00532634</v>
      </c>
      <c r="H2261">
        <v>32.92</v>
      </c>
      <c r="I2261">
        <v>0</v>
      </c>
      <c r="M2261">
        <v>0</v>
      </c>
      <c r="N2261">
        <v>0</v>
      </c>
      <c r="O2261">
        <v>0</v>
      </c>
      <c r="P2261">
        <v>32.92</v>
      </c>
      <c r="Q2261">
        <v>0</v>
      </c>
      <c r="R2261">
        <v>0</v>
      </c>
      <c r="S2261">
        <v>0</v>
      </c>
      <c r="T2261">
        <v>0</v>
      </c>
      <c r="U2261" s="1">
        <v>0</v>
      </c>
      <c r="V2261">
        <v>32.92</v>
      </c>
    </row>
    <row r="2262" spans="1:22" ht="15">
      <c r="A2262" s="4">
        <v>2255</v>
      </c>
      <c r="B2262">
        <v>775</v>
      </c>
      <c r="C2262" t="s">
        <v>4914</v>
      </c>
      <c r="D2262" t="s">
        <v>14</v>
      </c>
      <c r="E2262" t="s">
        <v>4915</v>
      </c>
      <c r="F2262" t="s">
        <v>4916</v>
      </c>
      <c r="G2262" t="str">
        <f>"00530698"</f>
        <v>00530698</v>
      </c>
      <c r="H2262">
        <v>22.92</v>
      </c>
      <c r="I2262">
        <v>0</v>
      </c>
      <c r="M2262">
        <v>4</v>
      </c>
      <c r="N2262">
        <v>0</v>
      </c>
      <c r="O2262">
        <v>0</v>
      </c>
      <c r="P2262">
        <v>26.92</v>
      </c>
      <c r="Q2262">
        <v>0</v>
      </c>
      <c r="R2262">
        <v>0</v>
      </c>
      <c r="S2262">
        <v>6</v>
      </c>
      <c r="T2262">
        <v>0</v>
      </c>
      <c r="U2262" s="1">
        <v>0</v>
      </c>
      <c r="V2262">
        <v>32.92</v>
      </c>
    </row>
    <row r="2263" spans="1:22" ht="15">
      <c r="A2263" s="4">
        <v>2256</v>
      </c>
      <c r="B2263">
        <v>453</v>
      </c>
      <c r="C2263" t="s">
        <v>4917</v>
      </c>
      <c r="D2263" t="s">
        <v>4918</v>
      </c>
      <c r="E2263" t="s">
        <v>447</v>
      </c>
      <c r="F2263" t="s">
        <v>4919</v>
      </c>
      <c r="G2263" t="str">
        <f>"00269835"</f>
        <v>00269835</v>
      </c>
      <c r="H2263">
        <v>29.88</v>
      </c>
      <c r="I2263">
        <v>0</v>
      </c>
      <c r="M2263">
        <v>0</v>
      </c>
      <c r="N2263">
        <v>0</v>
      </c>
      <c r="O2263">
        <v>0</v>
      </c>
      <c r="P2263">
        <v>29.88</v>
      </c>
      <c r="Q2263">
        <v>0</v>
      </c>
      <c r="R2263">
        <v>0</v>
      </c>
      <c r="S2263">
        <v>3</v>
      </c>
      <c r="T2263">
        <v>0</v>
      </c>
      <c r="U2263" s="1">
        <v>0</v>
      </c>
      <c r="V2263">
        <v>32.88</v>
      </c>
    </row>
    <row r="2264" spans="1:22" ht="15">
      <c r="A2264" s="4">
        <v>2257</v>
      </c>
      <c r="B2264">
        <v>2206</v>
      </c>
      <c r="C2264" t="s">
        <v>1478</v>
      </c>
      <c r="D2264" t="s">
        <v>1492</v>
      </c>
      <c r="E2264" t="s">
        <v>15</v>
      </c>
      <c r="F2264" t="s">
        <v>4920</v>
      </c>
      <c r="G2264" t="str">
        <f>"00523063"</f>
        <v>00523063</v>
      </c>
      <c r="H2264">
        <v>26.84</v>
      </c>
      <c r="I2264">
        <v>0</v>
      </c>
      <c r="M2264">
        <v>0</v>
      </c>
      <c r="N2264">
        <v>0</v>
      </c>
      <c r="O2264">
        <v>0</v>
      </c>
      <c r="P2264">
        <v>26.84</v>
      </c>
      <c r="Q2264">
        <v>0</v>
      </c>
      <c r="R2264">
        <v>0</v>
      </c>
      <c r="S2264">
        <v>6</v>
      </c>
      <c r="T2264">
        <v>0</v>
      </c>
      <c r="U2264" s="1">
        <v>0</v>
      </c>
      <c r="V2264">
        <v>32.84</v>
      </c>
    </row>
    <row r="2265" spans="1:22" ht="15">
      <c r="A2265" s="4">
        <v>2258</v>
      </c>
      <c r="B2265">
        <v>298</v>
      </c>
      <c r="C2265" t="s">
        <v>4921</v>
      </c>
      <c r="D2265" t="s">
        <v>68</v>
      </c>
      <c r="E2265" t="s">
        <v>4922</v>
      </c>
      <c r="F2265" t="s">
        <v>4923</v>
      </c>
      <c r="G2265" t="str">
        <f>"00525424"</f>
        <v>00525424</v>
      </c>
      <c r="H2265">
        <v>16.84</v>
      </c>
      <c r="I2265">
        <v>10</v>
      </c>
      <c r="M2265">
        <v>0</v>
      </c>
      <c r="N2265">
        <v>0</v>
      </c>
      <c r="O2265">
        <v>0</v>
      </c>
      <c r="P2265">
        <v>26.84</v>
      </c>
      <c r="Q2265">
        <v>0</v>
      </c>
      <c r="R2265">
        <v>0</v>
      </c>
      <c r="S2265">
        <v>6</v>
      </c>
      <c r="T2265">
        <v>0</v>
      </c>
      <c r="U2265" s="1">
        <v>0</v>
      </c>
      <c r="V2265">
        <v>32.84</v>
      </c>
    </row>
    <row r="2266" spans="1:22" ht="15">
      <c r="A2266" s="4">
        <v>2259</v>
      </c>
      <c r="B2266">
        <v>2457</v>
      </c>
      <c r="C2266" t="s">
        <v>4924</v>
      </c>
      <c r="D2266" t="s">
        <v>29</v>
      </c>
      <c r="E2266" t="s">
        <v>30</v>
      </c>
      <c r="F2266" t="s">
        <v>4925</v>
      </c>
      <c r="G2266" t="str">
        <f>"00531899"</f>
        <v>00531899</v>
      </c>
      <c r="H2266">
        <v>28.8</v>
      </c>
      <c r="I2266">
        <v>0</v>
      </c>
      <c r="L2266">
        <v>4</v>
      </c>
      <c r="M2266">
        <v>0</v>
      </c>
      <c r="N2266">
        <v>4</v>
      </c>
      <c r="O2266">
        <v>0</v>
      </c>
      <c r="P2266">
        <v>32.8</v>
      </c>
      <c r="Q2266">
        <v>0</v>
      </c>
      <c r="R2266">
        <v>0</v>
      </c>
      <c r="S2266">
        <v>0</v>
      </c>
      <c r="T2266">
        <v>0</v>
      </c>
      <c r="U2266" s="1">
        <v>0</v>
      </c>
      <c r="V2266">
        <v>32.8</v>
      </c>
    </row>
    <row r="2267" spans="1:22" ht="15">
      <c r="A2267" s="4">
        <v>2260</v>
      </c>
      <c r="B2267">
        <v>1469</v>
      </c>
      <c r="C2267" t="s">
        <v>216</v>
      </c>
      <c r="D2267" t="s">
        <v>1589</v>
      </c>
      <c r="E2267" t="s">
        <v>86</v>
      </c>
      <c r="F2267" t="s">
        <v>4926</v>
      </c>
      <c r="G2267" t="str">
        <f>"201406015673"</f>
        <v>201406015673</v>
      </c>
      <c r="H2267">
        <v>28.8</v>
      </c>
      <c r="I2267">
        <v>0</v>
      </c>
      <c r="L2267">
        <v>4</v>
      </c>
      <c r="M2267">
        <v>0</v>
      </c>
      <c r="N2267">
        <v>4</v>
      </c>
      <c r="O2267">
        <v>0</v>
      </c>
      <c r="P2267">
        <v>32.8</v>
      </c>
      <c r="Q2267">
        <v>0</v>
      </c>
      <c r="R2267">
        <v>0</v>
      </c>
      <c r="S2267">
        <v>0</v>
      </c>
      <c r="T2267">
        <v>0</v>
      </c>
      <c r="U2267" s="1">
        <v>0</v>
      </c>
      <c r="V2267">
        <v>32.8</v>
      </c>
    </row>
    <row r="2268" spans="1:22" ht="15">
      <c r="A2268" s="4">
        <v>2261</v>
      </c>
      <c r="B2268">
        <v>551</v>
      </c>
      <c r="C2268" t="s">
        <v>4927</v>
      </c>
      <c r="D2268" t="s">
        <v>2083</v>
      </c>
      <c r="E2268" t="s">
        <v>11</v>
      </c>
      <c r="F2268" t="s">
        <v>4928</v>
      </c>
      <c r="G2268" t="str">
        <f>"00529811"</f>
        <v>00529811</v>
      </c>
      <c r="H2268">
        <v>28.8</v>
      </c>
      <c r="I2268">
        <v>0</v>
      </c>
      <c r="M2268">
        <v>4</v>
      </c>
      <c r="N2268">
        <v>0</v>
      </c>
      <c r="O2268">
        <v>0</v>
      </c>
      <c r="P2268">
        <v>32.8</v>
      </c>
      <c r="Q2268">
        <v>0</v>
      </c>
      <c r="R2268">
        <v>0</v>
      </c>
      <c r="S2268">
        <v>0</v>
      </c>
      <c r="T2268">
        <v>0</v>
      </c>
      <c r="U2268" s="1">
        <v>0</v>
      </c>
      <c r="V2268">
        <v>32.8</v>
      </c>
    </row>
    <row r="2269" spans="1:22" ht="15">
      <c r="A2269" s="4">
        <v>2262</v>
      </c>
      <c r="B2269">
        <v>1757</v>
      </c>
      <c r="C2269" t="s">
        <v>4929</v>
      </c>
      <c r="D2269" t="s">
        <v>102</v>
      </c>
      <c r="E2269" t="s">
        <v>73</v>
      </c>
      <c r="F2269" t="s">
        <v>4930</v>
      </c>
      <c r="G2269" t="str">
        <f>"00524729"</f>
        <v>00524729</v>
      </c>
      <c r="H2269">
        <v>28.8</v>
      </c>
      <c r="I2269">
        <v>0</v>
      </c>
      <c r="M2269">
        <v>4</v>
      </c>
      <c r="N2269">
        <v>0</v>
      </c>
      <c r="O2269">
        <v>0</v>
      </c>
      <c r="P2269">
        <v>32.8</v>
      </c>
      <c r="Q2269">
        <v>0</v>
      </c>
      <c r="R2269">
        <v>0</v>
      </c>
      <c r="S2269">
        <v>0</v>
      </c>
      <c r="T2269">
        <v>0</v>
      </c>
      <c r="U2269" s="1">
        <v>0</v>
      </c>
      <c r="V2269">
        <v>32.8</v>
      </c>
    </row>
    <row r="2270" spans="1:22" ht="15">
      <c r="A2270" s="4">
        <v>2263</v>
      </c>
      <c r="B2270">
        <v>619</v>
      </c>
      <c r="C2270" t="s">
        <v>4931</v>
      </c>
      <c r="D2270" t="s">
        <v>333</v>
      </c>
      <c r="E2270" t="s">
        <v>19</v>
      </c>
      <c r="F2270" t="s">
        <v>4932</v>
      </c>
      <c r="G2270" t="str">
        <f>"00155018"</f>
        <v>00155018</v>
      </c>
      <c r="H2270">
        <v>28.8</v>
      </c>
      <c r="I2270">
        <v>0</v>
      </c>
      <c r="M2270">
        <v>4</v>
      </c>
      <c r="N2270">
        <v>0</v>
      </c>
      <c r="O2270">
        <v>0</v>
      </c>
      <c r="P2270">
        <v>32.8</v>
      </c>
      <c r="Q2270">
        <v>0</v>
      </c>
      <c r="R2270">
        <v>0</v>
      </c>
      <c r="S2270">
        <v>0</v>
      </c>
      <c r="T2270">
        <v>0</v>
      </c>
      <c r="U2270" s="1">
        <v>0</v>
      </c>
      <c r="V2270">
        <v>32.8</v>
      </c>
    </row>
    <row r="2271" spans="1:22" ht="15">
      <c r="A2271" s="4">
        <v>2264</v>
      </c>
      <c r="B2271">
        <v>706</v>
      </c>
      <c r="C2271" t="s">
        <v>4933</v>
      </c>
      <c r="D2271" t="s">
        <v>273</v>
      </c>
      <c r="E2271" t="s">
        <v>1285</v>
      </c>
      <c r="F2271" t="s">
        <v>4934</v>
      </c>
      <c r="G2271" t="str">
        <f>"00532006"</f>
        <v>00532006</v>
      </c>
      <c r="H2271">
        <v>28.8</v>
      </c>
      <c r="I2271">
        <v>0</v>
      </c>
      <c r="M2271">
        <v>4</v>
      </c>
      <c r="N2271">
        <v>0</v>
      </c>
      <c r="O2271">
        <v>0</v>
      </c>
      <c r="P2271">
        <v>32.8</v>
      </c>
      <c r="Q2271">
        <v>0</v>
      </c>
      <c r="R2271">
        <v>0</v>
      </c>
      <c r="S2271">
        <v>0</v>
      </c>
      <c r="T2271">
        <v>0</v>
      </c>
      <c r="U2271" s="1">
        <v>0</v>
      </c>
      <c r="V2271">
        <v>32.8</v>
      </c>
    </row>
    <row r="2272" spans="1:22" ht="15">
      <c r="A2272" s="4">
        <v>2265</v>
      </c>
      <c r="B2272">
        <v>686</v>
      </c>
      <c r="C2272" t="s">
        <v>4935</v>
      </c>
      <c r="D2272" t="s">
        <v>1784</v>
      </c>
      <c r="E2272" t="s">
        <v>90</v>
      </c>
      <c r="F2272" t="s">
        <v>4936</v>
      </c>
      <c r="G2272" t="str">
        <f>"00523141"</f>
        <v>00523141</v>
      </c>
      <c r="H2272">
        <v>28.8</v>
      </c>
      <c r="I2272">
        <v>0</v>
      </c>
      <c r="M2272">
        <v>4</v>
      </c>
      <c r="N2272">
        <v>0</v>
      </c>
      <c r="O2272">
        <v>0</v>
      </c>
      <c r="P2272">
        <v>32.8</v>
      </c>
      <c r="Q2272">
        <v>0</v>
      </c>
      <c r="R2272">
        <v>0</v>
      </c>
      <c r="S2272">
        <v>0</v>
      </c>
      <c r="T2272">
        <v>0</v>
      </c>
      <c r="U2272" s="1" t="s">
        <v>6251</v>
      </c>
      <c r="V2272">
        <v>32.8</v>
      </c>
    </row>
    <row r="2273" spans="1:22" ht="15">
      <c r="A2273" s="4">
        <v>2266</v>
      </c>
      <c r="B2273">
        <v>1767</v>
      </c>
      <c r="C2273" t="s">
        <v>4937</v>
      </c>
      <c r="D2273" t="s">
        <v>4938</v>
      </c>
      <c r="E2273" t="s">
        <v>51</v>
      </c>
      <c r="F2273" t="s">
        <v>4939</v>
      </c>
      <c r="G2273" t="str">
        <f>"00521634"</f>
        <v>00521634</v>
      </c>
      <c r="H2273">
        <v>28.8</v>
      </c>
      <c r="I2273">
        <v>0</v>
      </c>
      <c r="M2273">
        <v>4</v>
      </c>
      <c r="N2273">
        <v>0</v>
      </c>
      <c r="O2273">
        <v>0</v>
      </c>
      <c r="P2273">
        <v>32.8</v>
      </c>
      <c r="Q2273">
        <v>0</v>
      </c>
      <c r="R2273">
        <v>0</v>
      </c>
      <c r="S2273">
        <v>0</v>
      </c>
      <c r="T2273">
        <v>0</v>
      </c>
      <c r="U2273" s="1">
        <v>0</v>
      </c>
      <c r="V2273">
        <v>32.8</v>
      </c>
    </row>
    <row r="2274" spans="1:22" ht="15">
      <c r="A2274" s="4">
        <v>2267</v>
      </c>
      <c r="B2274">
        <v>305</v>
      </c>
      <c r="C2274" t="s">
        <v>4940</v>
      </c>
      <c r="D2274" t="s">
        <v>127</v>
      </c>
      <c r="E2274" t="s">
        <v>499</v>
      </c>
      <c r="F2274" t="s">
        <v>4941</v>
      </c>
      <c r="G2274" t="str">
        <f>"00225375"</f>
        <v>00225375</v>
      </c>
      <c r="H2274">
        <v>28.8</v>
      </c>
      <c r="I2274">
        <v>0</v>
      </c>
      <c r="M2274">
        <v>4</v>
      </c>
      <c r="N2274">
        <v>0</v>
      </c>
      <c r="O2274">
        <v>0</v>
      </c>
      <c r="P2274">
        <v>32.8</v>
      </c>
      <c r="Q2274">
        <v>0</v>
      </c>
      <c r="R2274">
        <v>0</v>
      </c>
      <c r="S2274">
        <v>0</v>
      </c>
      <c r="T2274">
        <v>0</v>
      </c>
      <c r="U2274" s="1">
        <v>0</v>
      </c>
      <c r="V2274">
        <v>32.8</v>
      </c>
    </row>
    <row r="2275" spans="1:22" ht="15">
      <c r="A2275" s="4">
        <v>2268</v>
      </c>
      <c r="B2275">
        <v>123</v>
      </c>
      <c r="C2275" t="s">
        <v>4942</v>
      </c>
      <c r="D2275" t="s">
        <v>222</v>
      </c>
      <c r="E2275" t="s">
        <v>19</v>
      </c>
      <c r="F2275" t="s">
        <v>4943</v>
      </c>
      <c r="G2275" t="str">
        <f>"00273027"</f>
        <v>00273027</v>
      </c>
      <c r="H2275">
        <v>28.8</v>
      </c>
      <c r="I2275">
        <v>0</v>
      </c>
      <c r="M2275">
        <v>4</v>
      </c>
      <c r="N2275">
        <v>0</v>
      </c>
      <c r="O2275">
        <v>0</v>
      </c>
      <c r="P2275">
        <v>32.8</v>
      </c>
      <c r="Q2275">
        <v>0</v>
      </c>
      <c r="R2275">
        <v>0</v>
      </c>
      <c r="S2275">
        <v>0</v>
      </c>
      <c r="T2275">
        <v>0</v>
      </c>
      <c r="U2275" s="1">
        <v>0</v>
      </c>
      <c r="V2275">
        <v>32.8</v>
      </c>
    </row>
    <row r="2276" spans="1:22" ht="15">
      <c r="A2276" s="4">
        <v>2269</v>
      </c>
      <c r="B2276">
        <v>2971</v>
      </c>
      <c r="C2276" t="s">
        <v>2814</v>
      </c>
      <c r="D2276" t="s">
        <v>949</v>
      </c>
      <c r="E2276" t="s">
        <v>83</v>
      </c>
      <c r="F2276" t="s">
        <v>4944</v>
      </c>
      <c r="G2276" t="str">
        <f>"00530389"</f>
        <v>00530389</v>
      </c>
      <c r="H2276">
        <v>28.8</v>
      </c>
      <c r="I2276">
        <v>0</v>
      </c>
      <c r="M2276">
        <v>4</v>
      </c>
      <c r="N2276">
        <v>0</v>
      </c>
      <c r="O2276">
        <v>0</v>
      </c>
      <c r="P2276">
        <v>32.8</v>
      </c>
      <c r="Q2276">
        <v>0</v>
      </c>
      <c r="R2276">
        <v>0</v>
      </c>
      <c r="S2276">
        <v>0</v>
      </c>
      <c r="T2276">
        <v>0</v>
      </c>
      <c r="U2276" s="1">
        <v>0</v>
      </c>
      <c r="V2276">
        <v>32.8</v>
      </c>
    </row>
    <row r="2277" spans="1:22" ht="15">
      <c r="A2277" s="4">
        <v>2270</v>
      </c>
      <c r="B2277">
        <v>1657</v>
      </c>
      <c r="C2277" t="s">
        <v>4945</v>
      </c>
      <c r="D2277" t="s">
        <v>26</v>
      </c>
      <c r="E2277" t="s">
        <v>30</v>
      </c>
      <c r="F2277" t="s">
        <v>4946</v>
      </c>
      <c r="G2277" t="str">
        <f>"00161828"</f>
        <v>00161828</v>
      </c>
      <c r="H2277">
        <v>30.8</v>
      </c>
      <c r="I2277">
        <v>0</v>
      </c>
      <c r="M2277">
        <v>0</v>
      </c>
      <c r="N2277">
        <v>0</v>
      </c>
      <c r="O2277">
        <v>0</v>
      </c>
      <c r="P2277">
        <v>30.8</v>
      </c>
      <c r="Q2277">
        <v>2</v>
      </c>
      <c r="R2277">
        <v>2</v>
      </c>
      <c r="S2277">
        <v>0</v>
      </c>
      <c r="T2277">
        <v>0</v>
      </c>
      <c r="U2277" s="1">
        <v>0</v>
      </c>
      <c r="V2277">
        <v>32.8</v>
      </c>
    </row>
    <row r="2278" spans="1:22" ht="15">
      <c r="A2278" s="4">
        <v>2271</v>
      </c>
      <c r="B2278">
        <v>1208</v>
      </c>
      <c r="C2278" t="s">
        <v>4947</v>
      </c>
      <c r="D2278" t="s">
        <v>4948</v>
      </c>
      <c r="E2278" t="s">
        <v>106</v>
      </c>
      <c r="F2278" t="s">
        <v>4949</v>
      </c>
      <c r="G2278" t="str">
        <f>"00530657"</f>
        <v>00530657</v>
      </c>
      <c r="H2278">
        <v>32.8</v>
      </c>
      <c r="I2278">
        <v>0</v>
      </c>
      <c r="M2278">
        <v>0</v>
      </c>
      <c r="N2278">
        <v>0</v>
      </c>
      <c r="O2278">
        <v>0</v>
      </c>
      <c r="P2278">
        <v>32.8</v>
      </c>
      <c r="Q2278">
        <v>0</v>
      </c>
      <c r="R2278">
        <v>0</v>
      </c>
      <c r="S2278">
        <v>0</v>
      </c>
      <c r="T2278">
        <v>0</v>
      </c>
      <c r="U2278" s="1">
        <v>0</v>
      </c>
      <c r="V2278">
        <v>32.8</v>
      </c>
    </row>
    <row r="2279" spans="1:22" ht="15">
      <c r="A2279" s="4">
        <v>2272</v>
      </c>
      <c r="B2279">
        <v>2973</v>
      </c>
      <c r="C2279" t="s">
        <v>4950</v>
      </c>
      <c r="D2279" t="s">
        <v>121</v>
      </c>
      <c r="E2279" t="s">
        <v>3620</v>
      </c>
      <c r="F2279" t="s">
        <v>4951</v>
      </c>
      <c r="G2279" t="str">
        <f>"00083821"</f>
        <v>00083821</v>
      </c>
      <c r="H2279">
        <v>28.8</v>
      </c>
      <c r="I2279">
        <v>0</v>
      </c>
      <c r="M2279">
        <v>4</v>
      </c>
      <c r="N2279">
        <v>0</v>
      </c>
      <c r="O2279">
        <v>0</v>
      </c>
      <c r="P2279">
        <v>32.8</v>
      </c>
      <c r="Q2279">
        <v>0</v>
      </c>
      <c r="R2279">
        <v>0</v>
      </c>
      <c r="S2279">
        <v>0</v>
      </c>
      <c r="T2279">
        <v>0</v>
      </c>
      <c r="U2279" s="1">
        <v>0</v>
      </c>
      <c r="V2279">
        <v>32.8</v>
      </c>
    </row>
    <row r="2280" spans="1:22" ht="15">
      <c r="A2280" s="4">
        <v>2273</v>
      </c>
      <c r="B2280">
        <v>2568</v>
      </c>
      <c r="C2280" t="s">
        <v>4952</v>
      </c>
      <c r="D2280" t="s">
        <v>4953</v>
      </c>
      <c r="E2280" t="s">
        <v>19</v>
      </c>
      <c r="F2280" t="s">
        <v>4954</v>
      </c>
      <c r="G2280" t="str">
        <f>"00530388"</f>
        <v>00530388</v>
      </c>
      <c r="H2280">
        <v>26.8</v>
      </c>
      <c r="I2280">
        <v>0</v>
      </c>
      <c r="M2280">
        <v>0</v>
      </c>
      <c r="N2280">
        <v>0</v>
      </c>
      <c r="O2280">
        <v>0</v>
      </c>
      <c r="P2280">
        <v>26.8</v>
      </c>
      <c r="Q2280">
        <v>0</v>
      </c>
      <c r="R2280">
        <v>0</v>
      </c>
      <c r="S2280">
        <v>6</v>
      </c>
      <c r="T2280">
        <v>0</v>
      </c>
      <c r="U2280" s="1">
        <v>0</v>
      </c>
      <c r="V2280">
        <v>32.8</v>
      </c>
    </row>
    <row r="2281" spans="1:22" ht="15">
      <c r="A2281" s="4">
        <v>2274</v>
      </c>
      <c r="B2281">
        <v>2346</v>
      </c>
      <c r="C2281" t="s">
        <v>4955</v>
      </c>
      <c r="D2281" t="s">
        <v>76</v>
      </c>
      <c r="E2281" t="s">
        <v>927</v>
      </c>
      <c r="F2281" t="s">
        <v>4956</v>
      </c>
      <c r="G2281" t="str">
        <f>"00527498"</f>
        <v>00527498</v>
      </c>
      <c r="H2281">
        <v>28.8</v>
      </c>
      <c r="I2281">
        <v>0</v>
      </c>
      <c r="M2281">
        <v>4</v>
      </c>
      <c r="N2281">
        <v>0</v>
      </c>
      <c r="O2281">
        <v>0</v>
      </c>
      <c r="P2281">
        <v>32.8</v>
      </c>
      <c r="Q2281">
        <v>0</v>
      </c>
      <c r="R2281">
        <v>0</v>
      </c>
      <c r="S2281">
        <v>0</v>
      </c>
      <c r="T2281">
        <v>0</v>
      </c>
      <c r="U2281" s="1">
        <v>0</v>
      </c>
      <c r="V2281">
        <v>32.8</v>
      </c>
    </row>
    <row r="2282" spans="1:22" ht="15">
      <c r="A2282" s="4">
        <v>2275</v>
      </c>
      <c r="B2282">
        <v>2093</v>
      </c>
      <c r="C2282" t="s">
        <v>4957</v>
      </c>
      <c r="D2282" t="s">
        <v>4958</v>
      </c>
      <c r="E2282" t="s">
        <v>15</v>
      </c>
      <c r="F2282" t="s">
        <v>4959</v>
      </c>
      <c r="G2282" t="str">
        <f>"00316745"</f>
        <v>00316745</v>
      </c>
      <c r="H2282">
        <v>28.8</v>
      </c>
      <c r="I2282">
        <v>0</v>
      </c>
      <c r="M2282">
        <v>4</v>
      </c>
      <c r="N2282">
        <v>0</v>
      </c>
      <c r="O2282">
        <v>0</v>
      </c>
      <c r="P2282">
        <v>32.8</v>
      </c>
      <c r="Q2282">
        <v>0</v>
      </c>
      <c r="R2282">
        <v>0</v>
      </c>
      <c r="S2282">
        <v>0</v>
      </c>
      <c r="T2282">
        <v>0</v>
      </c>
      <c r="U2282" s="1">
        <v>0</v>
      </c>
      <c r="V2282">
        <v>32.8</v>
      </c>
    </row>
    <row r="2283" spans="1:22" ht="15">
      <c r="A2283" s="4">
        <v>2276</v>
      </c>
      <c r="B2283">
        <v>2684</v>
      </c>
      <c r="C2283" t="s">
        <v>4960</v>
      </c>
      <c r="D2283" t="s">
        <v>4961</v>
      </c>
      <c r="E2283" t="s">
        <v>403</v>
      </c>
      <c r="F2283" t="s">
        <v>4962</v>
      </c>
      <c r="G2283" t="str">
        <f>"00441798"</f>
        <v>00441798</v>
      </c>
      <c r="H2283">
        <v>28.8</v>
      </c>
      <c r="I2283">
        <v>0</v>
      </c>
      <c r="L2283">
        <v>4</v>
      </c>
      <c r="M2283">
        <v>0</v>
      </c>
      <c r="N2283">
        <v>4</v>
      </c>
      <c r="O2283">
        <v>0</v>
      </c>
      <c r="P2283">
        <v>32.8</v>
      </c>
      <c r="Q2283">
        <v>0</v>
      </c>
      <c r="R2283">
        <v>0</v>
      </c>
      <c r="S2283">
        <v>0</v>
      </c>
      <c r="T2283">
        <v>0</v>
      </c>
      <c r="U2283" s="1">
        <v>0</v>
      </c>
      <c r="V2283">
        <v>32.8</v>
      </c>
    </row>
    <row r="2284" spans="1:22" ht="15">
      <c r="A2284" s="4">
        <v>2277</v>
      </c>
      <c r="B2284">
        <v>3048</v>
      </c>
      <c r="C2284" t="s">
        <v>4963</v>
      </c>
      <c r="D2284" t="s">
        <v>611</v>
      </c>
      <c r="E2284" t="s">
        <v>4964</v>
      </c>
      <c r="F2284" t="s">
        <v>4965</v>
      </c>
      <c r="G2284" t="str">
        <f>"00190979"</f>
        <v>00190979</v>
      </c>
      <c r="H2284">
        <v>28.8</v>
      </c>
      <c r="I2284">
        <v>0</v>
      </c>
      <c r="M2284">
        <v>4</v>
      </c>
      <c r="N2284">
        <v>0</v>
      </c>
      <c r="O2284">
        <v>0</v>
      </c>
      <c r="P2284">
        <v>32.8</v>
      </c>
      <c r="Q2284">
        <v>0</v>
      </c>
      <c r="R2284">
        <v>0</v>
      </c>
      <c r="S2284">
        <v>0</v>
      </c>
      <c r="T2284">
        <v>0</v>
      </c>
      <c r="U2284" s="1">
        <v>0</v>
      </c>
      <c r="V2284">
        <v>32.8</v>
      </c>
    </row>
    <row r="2285" spans="1:22" ht="15">
      <c r="A2285" s="4">
        <v>2278</v>
      </c>
      <c r="B2285">
        <v>3401</v>
      </c>
      <c r="C2285" t="s">
        <v>2512</v>
      </c>
      <c r="D2285" t="s">
        <v>14</v>
      </c>
      <c r="E2285" t="s">
        <v>90</v>
      </c>
      <c r="F2285" t="s">
        <v>4966</v>
      </c>
      <c r="G2285" t="str">
        <f>"00530715"</f>
        <v>00530715</v>
      </c>
      <c r="H2285">
        <v>28.8</v>
      </c>
      <c r="I2285">
        <v>0</v>
      </c>
      <c r="M2285">
        <v>4</v>
      </c>
      <c r="N2285">
        <v>0</v>
      </c>
      <c r="O2285">
        <v>0</v>
      </c>
      <c r="P2285">
        <v>32.8</v>
      </c>
      <c r="Q2285">
        <v>0</v>
      </c>
      <c r="R2285">
        <v>0</v>
      </c>
      <c r="S2285">
        <v>0</v>
      </c>
      <c r="T2285">
        <v>0</v>
      </c>
      <c r="U2285" s="1">
        <v>0</v>
      </c>
      <c r="V2285">
        <v>32.8</v>
      </c>
    </row>
    <row r="2286" spans="1:22" ht="15">
      <c r="A2286" s="4">
        <v>2279</v>
      </c>
      <c r="B2286">
        <v>1917</v>
      </c>
      <c r="C2286" t="s">
        <v>4967</v>
      </c>
      <c r="D2286" t="s">
        <v>339</v>
      </c>
      <c r="E2286" t="s">
        <v>83</v>
      </c>
      <c r="F2286" t="s">
        <v>4968</v>
      </c>
      <c r="G2286" t="str">
        <f>"00510438"</f>
        <v>00510438</v>
      </c>
      <c r="H2286">
        <v>28.8</v>
      </c>
      <c r="I2286">
        <v>0</v>
      </c>
      <c r="M2286">
        <v>4</v>
      </c>
      <c r="N2286">
        <v>0</v>
      </c>
      <c r="O2286">
        <v>0</v>
      </c>
      <c r="P2286">
        <v>32.8</v>
      </c>
      <c r="Q2286">
        <v>0</v>
      </c>
      <c r="R2286">
        <v>0</v>
      </c>
      <c r="S2286">
        <v>0</v>
      </c>
      <c r="T2286">
        <v>0</v>
      </c>
      <c r="U2286" s="1">
        <v>0</v>
      </c>
      <c r="V2286">
        <v>32.8</v>
      </c>
    </row>
    <row r="2287" spans="1:22" ht="15">
      <c r="A2287" s="4">
        <v>2280</v>
      </c>
      <c r="B2287">
        <v>1468</v>
      </c>
      <c r="C2287" t="s">
        <v>4969</v>
      </c>
      <c r="D2287" t="s">
        <v>189</v>
      </c>
      <c r="E2287" t="s">
        <v>514</v>
      </c>
      <c r="F2287" t="s">
        <v>4970</v>
      </c>
      <c r="G2287" t="str">
        <f>"00207304"</f>
        <v>00207304</v>
      </c>
      <c r="H2287">
        <v>28.8</v>
      </c>
      <c r="I2287">
        <v>0</v>
      </c>
      <c r="L2287">
        <v>4</v>
      </c>
      <c r="M2287">
        <v>0</v>
      </c>
      <c r="N2287">
        <v>4</v>
      </c>
      <c r="O2287">
        <v>0</v>
      </c>
      <c r="P2287">
        <v>32.8</v>
      </c>
      <c r="Q2287">
        <v>0</v>
      </c>
      <c r="R2287">
        <v>0</v>
      </c>
      <c r="S2287">
        <v>0</v>
      </c>
      <c r="T2287">
        <v>0</v>
      </c>
      <c r="U2287" s="1">
        <v>0</v>
      </c>
      <c r="V2287">
        <v>32.8</v>
      </c>
    </row>
    <row r="2288" spans="1:22" ht="15">
      <c r="A2288" s="4">
        <v>2281</v>
      </c>
      <c r="B2288">
        <v>1521</v>
      </c>
      <c r="C2288" t="s">
        <v>4971</v>
      </c>
      <c r="D2288" t="s">
        <v>4972</v>
      </c>
      <c r="E2288" t="s">
        <v>4973</v>
      </c>
      <c r="F2288" t="s">
        <v>4974</v>
      </c>
      <c r="G2288" t="str">
        <f>"00255807"</f>
        <v>00255807</v>
      </c>
      <c r="H2288">
        <v>28.8</v>
      </c>
      <c r="I2288">
        <v>0</v>
      </c>
      <c r="M2288">
        <v>4</v>
      </c>
      <c r="N2288">
        <v>0</v>
      </c>
      <c r="O2288">
        <v>0</v>
      </c>
      <c r="P2288">
        <v>32.8</v>
      </c>
      <c r="Q2288">
        <v>0</v>
      </c>
      <c r="R2288">
        <v>0</v>
      </c>
      <c r="S2288">
        <v>0</v>
      </c>
      <c r="T2288">
        <v>0</v>
      </c>
      <c r="U2288" s="1">
        <v>0</v>
      </c>
      <c r="V2288">
        <v>32.8</v>
      </c>
    </row>
    <row r="2289" spans="1:22" ht="15">
      <c r="A2289" s="4">
        <v>2282</v>
      </c>
      <c r="B2289">
        <v>3253</v>
      </c>
      <c r="C2289" t="s">
        <v>4975</v>
      </c>
      <c r="D2289" t="s">
        <v>40</v>
      </c>
      <c r="E2289" t="s">
        <v>73</v>
      </c>
      <c r="F2289" t="s">
        <v>4976</v>
      </c>
      <c r="G2289" t="str">
        <f>"00516372"</f>
        <v>00516372</v>
      </c>
      <c r="H2289">
        <v>28.8</v>
      </c>
      <c r="I2289">
        <v>0</v>
      </c>
      <c r="M2289">
        <v>4</v>
      </c>
      <c r="N2289">
        <v>0</v>
      </c>
      <c r="O2289">
        <v>0</v>
      </c>
      <c r="P2289">
        <v>32.8</v>
      </c>
      <c r="Q2289">
        <v>0</v>
      </c>
      <c r="R2289">
        <v>0</v>
      </c>
      <c r="S2289">
        <v>0</v>
      </c>
      <c r="T2289">
        <v>0</v>
      </c>
      <c r="U2289" s="1">
        <v>0</v>
      </c>
      <c r="V2289">
        <v>32.8</v>
      </c>
    </row>
    <row r="2290" spans="1:22" ht="15">
      <c r="A2290" s="4">
        <v>2283</v>
      </c>
      <c r="B2290">
        <v>2296</v>
      </c>
      <c r="C2290" t="s">
        <v>602</v>
      </c>
      <c r="D2290" t="s">
        <v>179</v>
      </c>
      <c r="E2290" t="s">
        <v>19</v>
      </c>
      <c r="F2290" t="s">
        <v>4977</v>
      </c>
      <c r="G2290" t="str">
        <f>"201511019763"</f>
        <v>201511019763</v>
      </c>
      <c r="H2290">
        <v>28.8</v>
      </c>
      <c r="I2290">
        <v>0</v>
      </c>
      <c r="M2290">
        <v>4</v>
      </c>
      <c r="N2290">
        <v>0</v>
      </c>
      <c r="O2290">
        <v>0</v>
      </c>
      <c r="P2290">
        <v>32.8</v>
      </c>
      <c r="Q2290">
        <v>0</v>
      </c>
      <c r="R2290">
        <v>0</v>
      </c>
      <c r="S2290">
        <v>0</v>
      </c>
      <c r="T2290">
        <v>0</v>
      </c>
      <c r="U2290" s="1">
        <v>0</v>
      </c>
      <c r="V2290">
        <v>32.8</v>
      </c>
    </row>
    <row r="2291" spans="1:22" ht="15">
      <c r="A2291" s="4">
        <v>2284</v>
      </c>
      <c r="B2291">
        <v>2545</v>
      </c>
      <c r="C2291" t="s">
        <v>4978</v>
      </c>
      <c r="D2291" t="s">
        <v>160</v>
      </c>
      <c r="E2291" t="s">
        <v>1401</v>
      </c>
      <c r="F2291" t="s">
        <v>4979</v>
      </c>
      <c r="G2291" t="str">
        <f>"201412003340"</f>
        <v>201412003340</v>
      </c>
      <c r="H2291">
        <v>28.8</v>
      </c>
      <c r="I2291">
        <v>0</v>
      </c>
      <c r="M2291">
        <v>4</v>
      </c>
      <c r="N2291">
        <v>0</v>
      </c>
      <c r="O2291">
        <v>0</v>
      </c>
      <c r="P2291">
        <v>32.8</v>
      </c>
      <c r="Q2291">
        <v>0</v>
      </c>
      <c r="R2291">
        <v>0</v>
      </c>
      <c r="S2291">
        <v>0</v>
      </c>
      <c r="T2291">
        <v>0</v>
      </c>
      <c r="U2291" s="1">
        <v>0</v>
      </c>
      <c r="V2291">
        <v>32.8</v>
      </c>
    </row>
    <row r="2292" spans="1:22" ht="15">
      <c r="A2292" s="4">
        <v>2285</v>
      </c>
      <c r="B2292">
        <v>157</v>
      </c>
      <c r="C2292" t="s">
        <v>4980</v>
      </c>
      <c r="D2292" t="s">
        <v>2456</v>
      </c>
      <c r="E2292" t="s">
        <v>94</v>
      </c>
      <c r="F2292" t="s">
        <v>4981</v>
      </c>
      <c r="G2292" t="str">
        <f>"00506975"</f>
        <v>00506975</v>
      </c>
      <c r="H2292">
        <v>32.8</v>
      </c>
      <c r="I2292">
        <v>0</v>
      </c>
      <c r="M2292">
        <v>0</v>
      </c>
      <c r="N2292">
        <v>0</v>
      </c>
      <c r="O2292">
        <v>0</v>
      </c>
      <c r="P2292">
        <v>32.8</v>
      </c>
      <c r="Q2292">
        <v>0</v>
      </c>
      <c r="R2292">
        <v>0</v>
      </c>
      <c r="S2292">
        <v>0</v>
      </c>
      <c r="T2292">
        <v>0</v>
      </c>
      <c r="U2292" s="1">
        <v>0</v>
      </c>
      <c r="V2292">
        <v>32.8</v>
      </c>
    </row>
    <row r="2293" spans="1:22" ht="15">
      <c r="A2293" s="4">
        <v>2286</v>
      </c>
      <c r="B2293">
        <v>2576</v>
      </c>
      <c r="C2293" t="s">
        <v>4982</v>
      </c>
      <c r="D2293" t="s">
        <v>121</v>
      </c>
      <c r="E2293" t="s">
        <v>499</v>
      </c>
      <c r="F2293" t="s">
        <v>4983</v>
      </c>
      <c r="G2293" t="str">
        <f>"00531909"</f>
        <v>00531909</v>
      </c>
      <c r="H2293">
        <v>28.8</v>
      </c>
      <c r="I2293">
        <v>0</v>
      </c>
      <c r="M2293">
        <v>4</v>
      </c>
      <c r="N2293">
        <v>0</v>
      </c>
      <c r="O2293">
        <v>0</v>
      </c>
      <c r="P2293">
        <v>32.8</v>
      </c>
      <c r="Q2293">
        <v>0</v>
      </c>
      <c r="R2293">
        <v>0</v>
      </c>
      <c r="S2293">
        <v>0</v>
      </c>
      <c r="T2293">
        <v>0</v>
      </c>
      <c r="U2293" s="1">
        <v>0</v>
      </c>
      <c r="V2293">
        <v>32.8</v>
      </c>
    </row>
    <row r="2294" spans="1:22" ht="15">
      <c r="A2294" s="4">
        <v>2287</v>
      </c>
      <c r="B2294">
        <v>2701</v>
      </c>
      <c r="C2294" t="s">
        <v>4984</v>
      </c>
      <c r="D2294" t="s">
        <v>3864</v>
      </c>
      <c r="E2294" t="s">
        <v>30</v>
      </c>
      <c r="F2294" t="s">
        <v>4985</v>
      </c>
      <c r="G2294" t="str">
        <f>"00172837"</f>
        <v>00172837</v>
      </c>
      <c r="H2294">
        <v>22.68</v>
      </c>
      <c r="I2294">
        <v>0</v>
      </c>
      <c r="M2294">
        <v>4</v>
      </c>
      <c r="N2294">
        <v>0</v>
      </c>
      <c r="O2294">
        <v>0</v>
      </c>
      <c r="P2294">
        <v>26.68</v>
      </c>
      <c r="Q2294">
        <v>0</v>
      </c>
      <c r="R2294">
        <v>0</v>
      </c>
      <c r="S2294">
        <v>6</v>
      </c>
      <c r="T2294">
        <v>0</v>
      </c>
      <c r="U2294" s="1">
        <v>0</v>
      </c>
      <c r="V2294">
        <v>32.68</v>
      </c>
    </row>
    <row r="2295" spans="1:22" ht="15">
      <c r="A2295" s="4">
        <v>2288</v>
      </c>
      <c r="B2295">
        <v>2159</v>
      </c>
      <c r="C2295" t="s">
        <v>4986</v>
      </c>
      <c r="D2295" t="s">
        <v>4987</v>
      </c>
      <c r="E2295" t="s">
        <v>4988</v>
      </c>
      <c r="F2295" t="s">
        <v>4989</v>
      </c>
      <c r="G2295" t="str">
        <f>"00449117"</f>
        <v>00449117</v>
      </c>
      <c r="H2295">
        <v>21.6</v>
      </c>
      <c r="I2295">
        <v>0</v>
      </c>
      <c r="L2295">
        <v>4</v>
      </c>
      <c r="M2295">
        <v>4</v>
      </c>
      <c r="N2295">
        <v>4</v>
      </c>
      <c r="O2295">
        <v>0</v>
      </c>
      <c r="P2295">
        <v>29.6</v>
      </c>
      <c r="Q2295">
        <v>0</v>
      </c>
      <c r="R2295">
        <v>0</v>
      </c>
      <c r="S2295">
        <v>3</v>
      </c>
      <c r="T2295">
        <v>0</v>
      </c>
      <c r="U2295" s="1">
        <v>0</v>
      </c>
      <c r="V2295">
        <v>32.6</v>
      </c>
    </row>
    <row r="2296" spans="1:22" ht="15">
      <c r="A2296" s="4">
        <v>2289</v>
      </c>
      <c r="B2296">
        <v>1528</v>
      </c>
      <c r="C2296" t="s">
        <v>2724</v>
      </c>
      <c r="D2296" t="s">
        <v>189</v>
      </c>
      <c r="E2296" t="s">
        <v>2369</v>
      </c>
      <c r="F2296" t="s">
        <v>4990</v>
      </c>
      <c r="G2296" t="str">
        <f>"200904000163"</f>
        <v>200904000163</v>
      </c>
      <c r="H2296">
        <v>20.6</v>
      </c>
      <c r="I2296">
        <v>0</v>
      </c>
      <c r="J2296">
        <v>8</v>
      </c>
      <c r="M2296">
        <v>4</v>
      </c>
      <c r="N2296">
        <v>8</v>
      </c>
      <c r="O2296">
        <v>0</v>
      </c>
      <c r="P2296">
        <v>32.6</v>
      </c>
      <c r="Q2296">
        <v>0</v>
      </c>
      <c r="R2296">
        <v>0</v>
      </c>
      <c r="S2296">
        <v>0</v>
      </c>
      <c r="T2296">
        <v>0</v>
      </c>
      <c r="U2296" s="1">
        <v>0</v>
      </c>
      <c r="V2296">
        <v>32.6</v>
      </c>
    </row>
    <row r="2297" spans="1:22" ht="15">
      <c r="A2297" s="4">
        <v>2290</v>
      </c>
      <c r="B2297">
        <v>2834</v>
      </c>
      <c r="C2297" t="s">
        <v>1438</v>
      </c>
      <c r="D2297" t="s">
        <v>232</v>
      </c>
      <c r="E2297" t="s">
        <v>4991</v>
      </c>
      <c r="F2297" t="s">
        <v>4992</v>
      </c>
      <c r="G2297" t="str">
        <f>"00425017"</f>
        <v>00425017</v>
      </c>
      <c r="H2297">
        <v>26.56</v>
      </c>
      <c r="I2297">
        <v>0</v>
      </c>
      <c r="M2297">
        <v>0</v>
      </c>
      <c r="N2297">
        <v>0</v>
      </c>
      <c r="O2297">
        <v>0</v>
      </c>
      <c r="P2297">
        <v>26.56</v>
      </c>
      <c r="Q2297">
        <v>0</v>
      </c>
      <c r="R2297">
        <v>0</v>
      </c>
      <c r="S2297">
        <v>6</v>
      </c>
      <c r="T2297">
        <v>0</v>
      </c>
      <c r="U2297" s="1">
        <v>0</v>
      </c>
      <c r="V2297">
        <v>32.56</v>
      </c>
    </row>
    <row r="2298" spans="1:22" ht="15">
      <c r="A2298" s="4">
        <v>2291</v>
      </c>
      <c r="B2298">
        <v>3272</v>
      </c>
      <c r="C2298" t="s">
        <v>2315</v>
      </c>
      <c r="D2298" t="s">
        <v>173</v>
      </c>
      <c r="E2298" t="s">
        <v>30</v>
      </c>
      <c r="F2298" t="s">
        <v>4993</v>
      </c>
      <c r="G2298" t="str">
        <f>"00509351"</f>
        <v>00509351</v>
      </c>
      <c r="H2298">
        <v>23.48</v>
      </c>
      <c r="I2298">
        <v>0</v>
      </c>
      <c r="M2298">
        <v>0</v>
      </c>
      <c r="N2298">
        <v>0</v>
      </c>
      <c r="O2298">
        <v>0</v>
      </c>
      <c r="P2298">
        <v>23.48</v>
      </c>
      <c r="Q2298">
        <v>3</v>
      </c>
      <c r="R2298">
        <v>3</v>
      </c>
      <c r="S2298">
        <v>6</v>
      </c>
      <c r="T2298">
        <v>0</v>
      </c>
      <c r="U2298" s="1">
        <v>0</v>
      </c>
      <c r="V2298">
        <v>32.48</v>
      </c>
    </row>
    <row r="2299" spans="1:22" ht="15">
      <c r="A2299" s="4">
        <v>2292</v>
      </c>
      <c r="B2299">
        <v>1798</v>
      </c>
      <c r="C2299" t="s">
        <v>4994</v>
      </c>
      <c r="D2299" t="s">
        <v>89</v>
      </c>
      <c r="E2299" t="s">
        <v>4995</v>
      </c>
      <c r="F2299" t="s">
        <v>4996</v>
      </c>
      <c r="G2299" t="str">
        <f>"00529791"</f>
        <v>00529791</v>
      </c>
      <c r="H2299">
        <v>32.4</v>
      </c>
      <c r="I2299">
        <v>0</v>
      </c>
      <c r="M2299">
        <v>0</v>
      </c>
      <c r="N2299">
        <v>0</v>
      </c>
      <c r="O2299">
        <v>0</v>
      </c>
      <c r="P2299">
        <v>32.4</v>
      </c>
      <c r="Q2299">
        <v>0</v>
      </c>
      <c r="R2299">
        <v>0</v>
      </c>
      <c r="S2299">
        <v>0</v>
      </c>
      <c r="T2299">
        <v>0</v>
      </c>
      <c r="U2299" s="1">
        <v>0</v>
      </c>
      <c r="V2299">
        <v>32.4</v>
      </c>
    </row>
    <row r="2300" spans="1:22" ht="15">
      <c r="A2300" s="4">
        <v>2293</v>
      </c>
      <c r="B2300">
        <v>3139</v>
      </c>
      <c r="C2300" t="s">
        <v>3190</v>
      </c>
      <c r="D2300" t="s">
        <v>1849</v>
      </c>
      <c r="E2300" t="s">
        <v>190</v>
      </c>
      <c r="F2300" t="s">
        <v>4997</v>
      </c>
      <c r="G2300" t="str">
        <f>"00530670"</f>
        <v>00530670</v>
      </c>
      <c r="H2300">
        <v>32.4</v>
      </c>
      <c r="I2300">
        <v>0</v>
      </c>
      <c r="M2300">
        <v>0</v>
      </c>
      <c r="N2300">
        <v>0</v>
      </c>
      <c r="O2300">
        <v>0</v>
      </c>
      <c r="P2300">
        <v>32.4</v>
      </c>
      <c r="Q2300">
        <v>0</v>
      </c>
      <c r="R2300">
        <v>0</v>
      </c>
      <c r="S2300">
        <v>0</v>
      </c>
      <c r="T2300">
        <v>0</v>
      </c>
      <c r="U2300" s="1">
        <v>0</v>
      </c>
      <c r="V2300">
        <v>32.4</v>
      </c>
    </row>
    <row r="2301" spans="1:22" ht="15">
      <c r="A2301" s="4">
        <v>2294</v>
      </c>
      <c r="B2301">
        <v>2067</v>
      </c>
      <c r="C2301" t="s">
        <v>3027</v>
      </c>
      <c r="D2301" t="s">
        <v>72</v>
      </c>
      <c r="E2301" t="s">
        <v>73</v>
      </c>
      <c r="F2301" t="s">
        <v>4998</v>
      </c>
      <c r="G2301" t="str">
        <f>"00085303"</f>
        <v>00085303</v>
      </c>
      <c r="H2301">
        <v>32.4</v>
      </c>
      <c r="I2301">
        <v>0</v>
      </c>
      <c r="M2301">
        <v>0</v>
      </c>
      <c r="N2301">
        <v>0</v>
      </c>
      <c r="O2301">
        <v>0</v>
      </c>
      <c r="P2301">
        <v>32.4</v>
      </c>
      <c r="Q2301">
        <v>0</v>
      </c>
      <c r="R2301">
        <v>0</v>
      </c>
      <c r="S2301">
        <v>0</v>
      </c>
      <c r="T2301">
        <v>0</v>
      </c>
      <c r="U2301" s="1">
        <v>0</v>
      </c>
      <c r="V2301">
        <v>32.4</v>
      </c>
    </row>
    <row r="2302" spans="1:22" ht="15">
      <c r="A2302" s="4">
        <v>2295</v>
      </c>
      <c r="B2302">
        <v>1450</v>
      </c>
      <c r="C2302" t="s">
        <v>4999</v>
      </c>
      <c r="D2302" t="s">
        <v>222</v>
      </c>
      <c r="E2302" t="s">
        <v>317</v>
      </c>
      <c r="F2302" t="s">
        <v>5000</v>
      </c>
      <c r="G2302" t="str">
        <f>"00519860"</f>
        <v>00519860</v>
      </c>
      <c r="H2302">
        <v>14.4</v>
      </c>
      <c r="I2302">
        <v>0</v>
      </c>
      <c r="M2302">
        <v>4</v>
      </c>
      <c r="N2302">
        <v>0</v>
      </c>
      <c r="O2302">
        <v>0</v>
      </c>
      <c r="P2302">
        <v>18.4</v>
      </c>
      <c r="Q2302">
        <v>5</v>
      </c>
      <c r="R2302">
        <v>5</v>
      </c>
      <c r="S2302">
        <v>9</v>
      </c>
      <c r="T2302">
        <v>0</v>
      </c>
      <c r="U2302" s="1">
        <v>0</v>
      </c>
      <c r="V2302">
        <v>32.4</v>
      </c>
    </row>
    <row r="2303" spans="1:22" ht="15">
      <c r="A2303" s="4">
        <v>2296</v>
      </c>
      <c r="B2303">
        <v>2672</v>
      </c>
      <c r="C2303" t="s">
        <v>5001</v>
      </c>
      <c r="D2303" t="s">
        <v>89</v>
      </c>
      <c r="E2303" t="s">
        <v>90</v>
      </c>
      <c r="F2303" t="s">
        <v>5002</v>
      </c>
      <c r="G2303" t="str">
        <f>"00186925"</f>
        <v>00186925</v>
      </c>
      <c r="H2303">
        <v>14.4</v>
      </c>
      <c r="I2303">
        <v>10</v>
      </c>
      <c r="L2303">
        <v>4</v>
      </c>
      <c r="M2303">
        <v>4</v>
      </c>
      <c r="N2303">
        <v>4</v>
      </c>
      <c r="O2303">
        <v>0</v>
      </c>
      <c r="P2303">
        <v>32.4</v>
      </c>
      <c r="Q2303">
        <v>0</v>
      </c>
      <c r="R2303">
        <v>0</v>
      </c>
      <c r="S2303">
        <v>0</v>
      </c>
      <c r="T2303">
        <v>0</v>
      </c>
      <c r="U2303" s="1">
        <v>0</v>
      </c>
      <c r="V2303">
        <v>32.4</v>
      </c>
    </row>
    <row r="2304" spans="1:22" ht="15">
      <c r="A2304" s="4">
        <v>2297</v>
      </c>
      <c r="B2304">
        <v>20</v>
      </c>
      <c r="C2304" t="s">
        <v>780</v>
      </c>
      <c r="D2304" t="s">
        <v>3150</v>
      </c>
      <c r="E2304" t="s">
        <v>30</v>
      </c>
      <c r="F2304" t="s">
        <v>5003</v>
      </c>
      <c r="G2304" t="str">
        <f>"200802004444"</f>
        <v>200802004444</v>
      </c>
      <c r="H2304">
        <v>14.4</v>
      </c>
      <c r="I2304">
        <v>10</v>
      </c>
      <c r="L2304">
        <v>4</v>
      </c>
      <c r="M2304">
        <v>4</v>
      </c>
      <c r="N2304">
        <v>4</v>
      </c>
      <c r="O2304">
        <v>0</v>
      </c>
      <c r="P2304">
        <v>32.4</v>
      </c>
      <c r="Q2304">
        <v>0</v>
      </c>
      <c r="R2304">
        <v>0</v>
      </c>
      <c r="S2304">
        <v>0</v>
      </c>
      <c r="T2304">
        <v>0</v>
      </c>
      <c r="U2304" s="1">
        <v>0</v>
      </c>
      <c r="V2304">
        <v>32.4</v>
      </c>
    </row>
    <row r="2305" spans="1:22" ht="15">
      <c r="A2305" s="4">
        <v>2298</v>
      </c>
      <c r="B2305">
        <v>628</v>
      </c>
      <c r="C2305" t="s">
        <v>196</v>
      </c>
      <c r="D2305" t="s">
        <v>40</v>
      </c>
      <c r="E2305" t="s">
        <v>30</v>
      </c>
      <c r="F2305" t="s">
        <v>5004</v>
      </c>
      <c r="G2305" t="str">
        <f>"00032030"</f>
        <v>00032030</v>
      </c>
      <c r="H2305">
        <v>10.28</v>
      </c>
      <c r="I2305">
        <v>0</v>
      </c>
      <c r="M2305">
        <v>4</v>
      </c>
      <c r="N2305">
        <v>0</v>
      </c>
      <c r="O2305">
        <v>2</v>
      </c>
      <c r="P2305">
        <v>16.28</v>
      </c>
      <c r="Q2305">
        <v>7</v>
      </c>
      <c r="R2305">
        <v>7</v>
      </c>
      <c r="S2305">
        <v>9</v>
      </c>
      <c r="T2305">
        <v>0</v>
      </c>
      <c r="U2305" s="1">
        <v>0</v>
      </c>
      <c r="V2305">
        <v>32.28</v>
      </c>
    </row>
    <row r="2306" spans="1:22" ht="15">
      <c r="A2306" s="4">
        <v>2299</v>
      </c>
      <c r="B2306">
        <v>742</v>
      </c>
      <c r="C2306" t="s">
        <v>5005</v>
      </c>
      <c r="D2306" t="s">
        <v>127</v>
      </c>
      <c r="E2306" t="s">
        <v>15</v>
      </c>
      <c r="F2306" t="s">
        <v>5006</v>
      </c>
      <c r="G2306" t="str">
        <f>"00532112"</f>
        <v>00532112</v>
      </c>
      <c r="H2306">
        <v>18.2</v>
      </c>
      <c r="I2306">
        <v>0</v>
      </c>
      <c r="M2306">
        <v>0</v>
      </c>
      <c r="N2306">
        <v>0</v>
      </c>
      <c r="O2306">
        <v>0</v>
      </c>
      <c r="P2306">
        <v>18.2</v>
      </c>
      <c r="Q2306">
        <v>8</v>
      </c>
      <c r="R2306">
        <v>8</v>
      </c>
      <c r="S2306">
        <v>6</v>
      </c>
      <c r="T2306">
        <v>0</v>
      </c>
      <c r="U2306" s="1">
        <v>0</v>
      </c>
      <c r="V2306">
        <v>32.2</v>
      </c>
    </row>
    <row r="2307" spans="1:22" ht="15">
      <c r="A2307" s="4">
        <v>2300</v>
      </c>
      <c r="B2307">
        <v>672</v>
      </c>
      <c r="C2307" t="s">
        <v>5007</v>
      </c>
      <c r="D2307" t="s">
        <v>157</v>
      </c>
      <c r="E2307" t="s">
        <v>99</v>
      </c>
      <c r="F2307" t="s">
        <v>5008</v>
      </c>
      <c r="G2307" t="str">
        <f>"201604001205"</f>
        <v>201604001205</v>
      </c>
      <c r="H2307">
        <v>7.2</v>
      </c>
      <c r="I2307">
        <v>0</v>
      </c>
      <c r="L2307">
        <v>4</v>
      </c>
      <c r="M2307">
        <v>4</v>
      </c>
      <c r="N2307">
        <v>4</v>
      </c>
      <c r="O2307">
        <v>0</v>
      </c>
      <c r="P2307">
        <v>15.2</v>
      </c>
      <c r="Q2307">
        <v>17</v>
      </c>
      <c r="R2307">
        <v>17</v>
      </c>
      <c r="S2307">
        <v>0</v>
      </c>
      <c r="T2307">
        <v>0</v>
      </c>
      <c r="U2307" s="1">
        <v>0</v>
      </c>
      <c r="V2307">
        <v>32.2</v>
      </c>
    </row>
    <row r="2308" spans="1:22" ht="15">
      <c r="A2308" s="4">
        <v>2301</v>
      </c>
      <c r="B2308">
        <v>1713</v>
      </c>
      <c r="C2308" t="s">
        <v>5009</v>
      </c>
      <c r="D2308" t="s">
        <v>14</v>
      </c>
      <c r="E2308" t="s">
        <v>593</v>
      </c>
      <c r="F2308" t="s">
        <v>5010</v>
      </c>
      <c r="G2308" t="str">
        <f>"00281802"</f>
        <v>00281802</v>
      </c>
      <c r="H2308">
        <v>22.16</v>
      </c>
      <c r="I2308">
        <v>0</v>
      </c>
      <c r="M2308">
        <v>4</v>
      </c>
      <c r="N2308">
        <v>0</v>
      </c>
      <c r="O2308">
        <v>0</v>
      </c>
      <c r="P2308">
        <v>26.16</v>
      </c>
      <c r="Q2308">
        <v>0</v>
      </c>
      <c r="R2308">
        <v>0</v>
      </c>
      <c r="S2308">
        <v>6</v>
      </c>
      <c r="T2308">
        <v>0</v>
      </c>
      <c r="U2308" s="1">
        <v>0</v>
      </c>
      <c r="V2308">
        <v>32.16</v>
      </c>
    </row>
    <row r="2309" spans="1:22" ht="15">
      <c r="A2309" s="4">
        <v>2302</v>
      </c>
      <c r="B2309">
        <v>258</v>
      </c>
      <c r="C2309" t="s">
        <v>5011</v>
      </c>
      <c r="D2309" t="s">
        <v>76</v>
      </c>
      <c r="E2309" t="s">
        <v>51</v>
      </c>
      <c r="F2309" t="s">
        <v>5012</v>
      </c>
      <c r="G2309" t="str">
        <f>"00531575"</f>
        <v>00531575</v>
      </c>
      <c r="H2309">
        <v>25.16</v>
      </c>
      <c r="I2309">
        <v>0</v>
      </c>
      <c r="M2309">
        <v>0</v>
      </c>
      <c r="N2309">
        <v>0</v>
      </c>
      <c r="O2309">
        <v>0</v>
      </c>
      <c r="P2309">
        <v>25.16</v>
      </c>
      <c r="Q2309">
        <v>1</v>
      </c>
      <c r="R2309">
        <v>1</v>
      </c>
      <c r="S2309">
        <v>6</v>
      </c>
      <c r="T2309">
        <v>0</v>
      </c>
      <c r="U2309" s="1">
        <v>0</v>
      </c>
      <c r="V2309">
        <v>32.16</v>
      </c>
    </row>
    <row r="2310" spans="1:22" ht="15">
      <c r="A2310" s="4">
        <v>2303</v>
      </c>
      <c r="B2310">
        <v>1041</v>
      </c>
      <c r="C2310" t="s">
        <v>5013</v>
      </c>
      <c r="D2310" t="s">
        <v>1199</v>
      </c>
      <c r="E2310" t="s">
        <v>30</v>
      </c>
      <c r="F2310" t="s">
        <v>5014</v>
      </c>
      <c r="G2310" t="str">
        <f>"00530733"</f>
        <v>00530733</v>
      </c>
      <c r="H2310">
        <v>23.16</v>
      </c>
      <c r="I2310">
        <v>0</v>
      </c>
      <c r="M2310">
        <v>0</v>
      </c>
      <c r="N2310">
        <v>0</v>
      </c>
      <c r="O2310">
        <v>0</v>
      </c>
      <c r="P2310">
        <v>23.16</v>
      </c>
      <c r="Q2310">
        <v>0</v>
      </c>
      <c r="R2310">
        <v>0</v>
      </c>
      <c r="S2310">
        <v>9</v>
      </c>
      <c r="T2310">
        <v>0</v>
      </c>
      <c r="U2310" s="1">
        <v>0</v>
      </c>
      <c r="V2310">
        <v>32.16</v>
      </c>
    </row>
    <row r="2311" spans="1:22" ht="15">
      <c r="A2311" s="4">
        <v>2304</v>
      </c>
      <c r="B2311">
        <v>247</v>
      </c>
      <c r="C2311" t="s">
        <v>5015</v>
      </c>
      <c r="D2311" t="s">
        <v>5016</v>
      </c>
      <c r="E2311" t="s">
        <v>23</v>
      </c>
      <c r="F2311" t="s">
        <v>5017</v>
      </c>
      <c r="G2311" t="str">
        <f>"00162473"</f>
        <v>00162473</v>
      </c>
      <c r="H2311">
        <v>0</v>
      </c>
      <c r="I2311">
        <v>0</v>
      </c>
      <c r="M2311">
        <v>4</v>
      </c>
      <c r="N2311">
        <v>0</v>
      </c>
      <c r="O2311">
        <v>0</v>
      </c>
      <c r="P2311">
        <v>4</v>
      </c>
      <c r="Q2311">
        <v>28</v>
      </c>
      <c r="R2311">
        <v>28</v>
      </c>
      <c r="S2311">
        <v>0</v>
      </c>
      <c r="T2311">
        <v>0</v>
      </c>
      <c r="U2311" s="1">
        <v>0</v>
      </c>
      <c r="V2311">
        <v>32</v>
      </c>
    </row>
    <row r="2312" spans="1:22" ht="15">
      <c r="A2312" s="4">
        <v>2305</v>
      </c>
      <c r="B2312">
        <v>2603</v>
      </c>
      <c r="C2312" t="s">
        <v>5018</v>
      </c>
      <c r="D2312" t="s">
        <v>160</v>
      </c>
      <c r="E2312" t="s">
        <v>5019</v>
      </c>
      <c r="F2312" t="s">
        <v>5020</v>
      </c>
      <c r="G2312" t="str">
        <f>"00262601"</f>
        <v>00262601</v>
      </c>
      <c r="H2312">
        <v>28</v>
      </c>
      <c r="I2312">
        <v>0</v>
      </c>
      <c r="M2312">
        <v>4</v>
      </c>
      <c r="N2312">
        <v>0</v>
      </c>
      <c r="O2312">
        <v>0</v>
      </c>
      <c r="P2312">
        <v>32</v>
      </c>
      <c r="Q2312">
        <v>0</v>
      </c>
      <c r="R2312">
        <v>0</v>
      </c>
      <c r="S2312">
        <v>0</v>
      </c>
      <c r="T2312">
        <v>0</v>
      </c>
      <c r="U2312" s="1">
        <v>0</v>
      </c>
      <c r="V2312">
        <v>32</v>
      </c>
    </row>
    <row r="2313" spans="1:22" ht="15">
      <c r="A2313" s="4">
        <v>2306</v>
      </c>
      <c r="B2313">
        <v>2119</v>
      </c>
      <c r="C2313" t="s">
        <v>5021</v>
      </c>
      <c r="D2313" t="s">
        <v>643</v>
      </c>
      <c r="E2313" t="s">
        <v>4269</v>
      </c>
      <c r="F2313" t="s">
        <v>5022</v>
      </c>
      <c r="G2313" t="str">
        <f>"201511016148"</f>
        <v>201511016148</v>
      </c>
      <c r="H2313">
        <v>24</v>
      </c>
      <c r="I2313">
        <v>0</v>
      </c>
      <c r="L2313">
        <v>4</v>
      </c>
      <c r="M2313">
        <v>4</v>
      </c>
      <c r="N2313">
        <v>4</v>
      </c>
      <c r="O2313">
        <v>0</v>
      </c>
      <c r="P2313">
        <v>32</v>
      </c>
      <c r="Q2313">
        <v>0</v>
      </c>
      <c r="R2313">
        <v>0</v>
      </c>
      <c r="S2313">
        <v>0</v>
      </c>
      <c r="T2313">
        <v>0</v>
      </c>
      <c r="U2313" s="1">
        <v>0</v>
      </c>
      <c r="V2313">
        <v>32</v>
      </c>
    </row>
    <row r="2314" spans="1:22" ht="15">
      <c r="A2314" s="4">
        <v>2307</v>
      </c>
      <c r="B2314">
        <v>1417</v>
      </c>
      <c r="C2314" t="s">
        <v>5023</v>
      </c>
      <c r="D2314" t="s">
        <v>189</v>
      </c>
      <c r="E2314" t="s">
        <v>51</v>
      </c>
      <c r="F2314" t="s">
        <v>5024</v>
      </c>
      <c r="G2314" t="str">
        <f>"200808000593"</f>
        <v>200808000593</v>
      </c>
      <c r="H2314">
        <v>0</v>
      </c>
      <c r="I2314">
        <v>0</v>
      </c>
      <c r="M2314">
        <v>4</v>
      </c>
      <c r="N2314">
        <v>0</v>
      </c>
      <c r="O2314">
        <v>0</v>
      </c>
      <c r="P2314">
        <v>4</v>
      </c>
      <c r="Q2314">
        <v>28</v>
      </c>
      <c r="R2314">
        <v>28</v>
      </c>
      <c r="S2314">
        <v>0</v>
      </c>
      <c r="T2314">
        <v>0</v>
      </c>
      <c r="U2314" s="1">
        <v>0</v>
      </c>
      <c r="V2314">
        <v>32</v>
      </c>
    </row>
    <row r="2315" spans="1:22" ht="15">
      <c r="A2315" s="4">
        <v>2308</v>
      </c>
      <c r="B2315">
        <v>996</v>
      </c>
      <c r="C2315" t="s">
        <v>5025</v>
      </c>
      <c r="D2315" t="s">
        <v>298</v>
      </c>
      <c r="E2315" t="s">
        <v>317</v>
      </c>
      <c r="F2315" t="s">
        <v>5026</v>
      </c>
      <c r="G2315" t="str">
        <f>"201511015908"</f>
        <v>201511015908</v>
      </c>
      <c r="H2315">
        <v>28</v>
      </c>
      <c r="I2315">
        <v>0</v>
      </c>
      <c r="M2315">
        <v>4</v>
      </c>
      <c r="N2315">
        <v>0</v>
      </c>
      <c r="O2315">
        <v>0</v>
      </c>
      <c r="P2315">
        <v>32</v>
      </c>
      <c r="Q2315">
        <v>0</v>
      </c>
      <c r="R2315">
        <v>0</v>
      </c>
      <c r="S2315">
        <v>0</v>
      </c>
      <c r="T2315">
        <v>0</v>
      </c>
      <c r="U2315" s="1">
        <v>0</v>
      </c>
      <c r="V2315">
        <v>32</v>
      </c>
    </row>
    <row r="2316" spans="1:22" ht="15">
      <c r="A2316" s="4">
        <v>2309</v>
      </c>
      <c r="B2316">
        <v>430</v>
      </c>
      <c r="C2316" t="s">
        <v>2183</v>
      </c>
      <c r="D2316" t="s">
        <v>467</v>
      </c>
      <c r="E2316" t="s">
        <v>19</v>
      </c>
      <c r="F2316" t="s">
        <v>5027</v>
      </c>
      <c r="G2316" t="str">
        <f>"00479930"</f>
        <v>00479930</v>
      </c>
      <c r="H2316">
        <v>0</v>
      </c>
      <c r="I2316">
        <v>0</v>
      </c>
      <c r="L2316">
        <v>4</v>
      </c>
      <c r="M2316">
        <v>4</v>
      </c>
      <c r="N2316">
        <v>4</v>
      </c>
      <c r="O2316">
        <v>0</v>
      </c>
      <c r="P2316">
        <v>8</v>
      </c>
      <c r="Q2316">
        <v>24</v>
      </c>
      <c r="R2316">
        <v>24</v>
      </c>
      <c r="S2316">
        <v>0</v>
      </c>
      <c r="T2316">
        <v>0</v>
      </c>
      <c r="U2316" s="1" t="s">
        <v>6251</v>
      </c>
      <c r="V2316">
        <v>32</v>
      </c>
    </row>
    <row r="2317" spans="1:22" ht="15">
      <c r="A2317" s="4">
        <v>2310</v>
      </c>
      <c r="B2317">
        <v>1359</v>
      </c>
      <c r="C2317" t="s">
        <v>4853</v>
      </c>
      <c r="D2317" t="s">
        <v>22</v>
      </c>
      <c r="E2317" t="s">
        <v>499</v>
      </c>
      <c r="F2317" t="s">
        <v>5028</v>
      </c>
      <c r="G2317" t="str">
        <f>"00531756"</f>
        <v>00531756</v>
      </c>
      <c r="H2317">
        <v>18.92</v>
      </c>
      <c r="I2317">
        <v>10</v>
      </c>
      <c r="M2317">
        <v>0</v>
      </c>
      <c r="N2317">
        <v>0</v>
      </c>
      <c r="O2317">
        <v>0</v>
      </c>
      <c r="P2317">
        <v>28.92</v>
      </c>
      <c r="Q2317">
        <v>0</v>
      </c>
      <c r="R2317">
        <v>0</v>
      </c>
      <c r="S2317">
        <v>3</v>
      </c>
      <c r="T2317">
        <v>0</v>
      </c>
      <c r="U2317" s="1">
        <v>0</v>
      </c>
      <c r="V2317">
        <v>31.92</v>
      </c>
    </row>
    <row r="2318" spans="1:22" ht="15">
      <c r="A2318" s="4">
        <v>2311</v>
      </c>
      <c r="B2318">
        <v>210</v>
      </c>
      <c r="C2318" t="s">
        <v>5029</v>
      </c>
      <c r="D2318" t="s">
        <v>5030</v>
      </c>
      <c r="E2318" t="s">
        <v>1180</v>
      </c>
      <c r="F2318" t="s">
        <v>5031</v>
      </c>
      <c r="G2318" t="str">
        <f>"00512888"</f>
        <v>00512888</v>
      </c>
      <c r="H2318">
        <v>17.8</v>
      </c>
      <c r="I2318">
        <v>0</v>
      </c>
      <c r="M2318">
        <v>4</v>
      </c>
      <c r="N2318">
        <v>0</v>
      </c>
      <c r="O2318">
        <v>0</v>
      </c>
      <c r="P2318">
        <v>21.8</v>
      </c>
      <c r="Q2318">
        <v>10</v>
      </c>
      <c r="R2318">
        <v>10</v>
      </c>
      <c r="S2318">
        <v>0</v>
      </c>
      <c r="T2318">
        <v>0</v>
      </c>
      <c r="U2318" s="1">
        <v>0</v>
      </c>
      <c r="V2318">
        <v>31.8</v>
      </c>
    </row>
    <row r="2319" spans="1:22" ht="15">
      <c r="A2319" s="4">
        <v>2312</v>
      </c>
      <c r="B2319">
        <v>2422</v>
      </c>
      <c r="C2319" t="s">
        <v>5032</v>
      </c>
      <c r="D2319" t="s">
        <v>156</v>
      </c>
      <c r="E2319" t="s">
        <v>19</v>
      </c>
      <c r="F2319" t="s">
        <v>5033</v>
      </c>
      <c r="G2319" t="str">
        <f>"00530808"</f>
        <v>00530808</v>
      </c>
      <c r="H2319">
        <v>28.8</v>
      </c>
      <c r="I2319">
        <v>0</v>
      </c>
      <c r="M2319">
        <v>0</v>
      </c>
      <c r="N2319">
        <v>0</v>
      </c>
      <c r="O2319">
        <v>0</v>
      </c>
      <c r="P2319">
        <v>28.8</v>
      </c>
      <c r="Q2319">
        <v>0</v>
      </c>
      <c r="R2319">
        <v>0</v>
      </c>
      <c r="S2319">
        <v>3</v>
      </c>
      <c r="T2319">
        <v>0</v>
      </c>
      <c r="U2319" s="1">
        <v>0</v>
      </c>
      <c r="V2319">
        <v>31.8</v>
      </c>
    </row>
    <row r="2320" spans="1:22" ht="15">
      <c r="A2320" s="4">
        <v>2313</v>
      </c>
      <c r="B2320">
        <v>1823</v>
      </c>
      <c r="C2320" t="s">
        <v>5034</v>
      </c>
      <c r="D2320" t="s">
        <v>82</v>
      </c>
      <c r="E2320" t="s">
        <v>11</v>
      </c>
      <c r="F2320" t="s">
        <v>5035</v>
      </c>
      <c r="G2320" t="str">
        <f>"00529543"</f>
        <v>00529543</v>
      </c>
      <c r="H2320">
        <v>28.8</v>
      </c>
      <c r="I2320">
        <v>0</v>
      </c>
      <c r="M2320">
        <v>0</v>
      </c>
      <c r="N2320">
        <v>0</v>
      </c>
      <c r="O2320">
        <v>0</v>
      </c>
      <c r="P2320">
        <v>28.8</v>
      </c>
      <c r="Q2320">
        <v>0</v>
      </c>
      <c r="R2320">
        <v>0</v>
      </c>
      <c r="S2320">
        <v>3</v>
      </c>
      <c r="T2320">
        <v>0</v>
      </c>
      <c r="U2320" s="1">
        <v>0</v>
      </c>
      <c r="V2320">
        <v>31.8</v>
      </c>
    </row>
    <row r="2321" spans="1:22" ht="15">
      <c r="A2321" s="4">
        <v>2314</v>
      </c>
      <c r="B2321">
        <v>49</v>
      </c>
      <c r="C2321" t="s">
        <v>5036</v>
      </c>
      <c r="D2321" t="s">
        <v>5037</v>
      </c>
      <c r="E2321" t="s">
        <v>197</v>
      </c>
      <c r="F2321" t="s">
        <v>5038</v>
      </c>
      <c r="G2321" t="str">
        <f>"00469657"</f>
        <v>00469657</v>
      </c>
      <c r="H2321">
        <v>22.68</v>
      </c>
      <c r="I2321">
        <v>0</v>
      </c>
      <c r="M2321">
        <v>0</v>
      </c>
      <c r="N2321">
        <v>0</v>
      </c>
      <c r="O2321">
        <v>0</v>
      </c>
      <c r="P2321">
        <v>22.68</v>
      </c>
      <c r="Q2321">
        <v>0</v>
      </c>
      <c r="R2321">
        <v>0</v>
      </c>
      <c r="S2321">
        <v>9</v>
      </c>
      <c r="T2321">
        <v>0</v>
      </c>
      <c r="U2321" s="1">
        <v>0</v>
      </c>
      <c r="V2321">
        <v>31.68</v>
      </c>
    </row>
    <row r="2322" spans="1:22" ht="15">
      <c r="A2322" s="4">
        <v>2315</v>
      </c>
      <c r="B2322">
        <v>1203</v>
      </c>
      <c r="C2322" t="s">
        <v>2975</v>
      </c>
      <c r="D2322" t="s">
        <v>89</v>
      </c>
      <c r="E2322" t="s">
        <v>51</v>
      </c>
      <c r="F2322" t="s">
        <v>5039</v>
      </c>
      <c r="G2322" t="str">
        <f>"00510090"</f>
        <v>00510090</v>
      </c>
      <c r="H2322">
        <v>21.6</v>
      </c>
      <c r="I2322">
        <v>0</v>
      </c>
      <c r="M2322">
        <v>4</v>
      </c>
      <c r="N2322">
        <v>0</v>
      </c>
      <c r="O2322">
        <v>0</v>
      </c>
      <c r="P2322">
        <v>25.6</v>
      </c>
      <c r="Q2322">
        <v>0</v>
      </c>
      <c r="R2322">
        <v>0</v>
      </c>
      <c r="S2322">
        <v>6</v>
      </c>
      <c r="T2322">
        <v>0</v>
      </c>
      <c r="U2322" s="1">
        <v>0</v>
      </c>
      <c r="V2322">
        <v>31.6</v>
      </c>
    </row>
    <row r="2323" spans="1:22" ht="15">
      <c r="A2323" s="4">
        <v>2316</v>
      </c>
      <c r="B2323">
        <v>3267</v>
      </c>
      <c r="C2323" t="s">
        <v>5040</v>
      </c>
      <c r="D2323" t="s">
        <v>33</v>
      </c>
      <c r="E2323" t="s">
        <v>15</v>
      </c>
      <c r="F2323" t="s">
        <v>5041</v>
      </c>
      <c r="G2323" t="str">
        <f>"00532936"</f>
        <v>00532936</v>
      </c>
      <c r="H2323">
        <v>21.6</v>
      </c>
      <c r="I2323">
        <v>0</v>
      </c>
      <c r="M2323">
        <v>4</v>
      </c>
      <c r="N2323">
        <v>0</v>
      </c>
      <c r="O2323">
        <v>0</v>
      </c>
      <c r="P2323">
        <v>25.6</v>
      </c>
      <c r="Q2323">
        <v>0</v>
      </c>
      <c r="R2323">
        <v>0</v>
      </c>
      <c r="S2323">
        <v>6</v>
      </c>
      <c r="T2323">
        <v>0</v>
      </c>
      <c r="U2323" s="1">
        <v>0</v>
      </c>
      <c r="V2323">
        <v>31.6</v>
      </c>
    </row>
    <row r="2324" spans="1:22" ht="15">
      <c r="A2324" s="4">
        <v>2317</v>
      </c>
      <c r="B2324">
        <v>1428</v>
      </c>
      <c r="C2324" t="s">
        <v>5042</v>
      </c>
      <c r="D2324" t="s">
        <v>179</v>
      </c>
      <c r="E2324" t="s">
        <v>15</v>
      </c>
      <c r="F2324" t="s">
        <v>5043</v>
      </c>
      <c r="G2324" t="str">
        <f>"00233120"</f>
        <v>00233120</v>
      </c>
      <c r="H2324">
        <v>21.6</v>
      </c>
      <c r="I2324">
        <v>0</v>
      </c>
      <c r="M2324">
        <v>4</v>
      </c>
      <c r="N2324">
        <v>0</v>
      </c>
      <c r="O2324">
        <v>0</v>
      </c>
      <c r="P2324">
        <v>25.6</v>
      </c>
      <c r="Q2324">
        <v>0</v>
      </c>
      <c r="R2324">
        <v>0</v>
      </c>
      <c r="S2324">
        <v>6</v>
      </c>
      <c r="T2324">
        <v>0</v>
      </c>
      <c r="U2324" s="1">
        <v>0</v>
      </c>
      <c r="V2324">
        <v>31.6</v>
      </c>
    </row>
    <row r="2325" spans="1:22" ht="15">
      <c r="A2325" s="4">
        <v>2318</v>
      </c>
      <c r="B2325">
        <v>946</v>
      </c>
      <c r="C2325" t="s">
        <v>5044</v>
      </c>
      <c r="D2325" t="s">
        <v>640</v>
      </c>
      <c r="E2325" t="s">
        <v>83</v>
      </c>
      <c r="F2325" t="s">
        <v>5045</v>
      </c>
      <c r="G2325" t="str">
        <f>"00530848"</f>
        <v>00530848</v>
      </c>
      <c r="H2325">
        <v>31.6</v>
      </c>
      <c r="I2325">
        <v>0</v>
      </c>
      <c r="M2325">
        <v>0</v>
      </c>
      <c r="N2325">
        <v>0</v>
      </c>
      <c r="O2325">
        <v>0</v>
      </c>
      <c r="P2325">
        <v>31.6</v>
      </c>
      <c r="Q2325">
        <v>0</v>
      </c>
      <c r="R2325">
        <v>0</v>
      </c>
      <c r="S2325">
        <v>0</v>
      </c>
      <c r="T2325">
        <v>0</v>
      </c>
      <c r="U2325" s="1">
        <v>0</v>
      </c>
      <c r="V2325">
        <v>31.6</v>
      </c>
    </row>
    <row r="2326" spans="1:22" ht="15">
      <c r="A2326" s="4">
        <v>2319</v>
      </c>
      <c r="B2326">
        <v>2038</v>
      </c>
      <c r="C2326" t="s">
        <v>5046</v>
      </c>
      <c r="D2326" t="s">
        <v>89</v>
      </c>
      <c r="E2326" t="s">
        <v>11</v>
      </c>
      <c r="F2326" t="s">
        <v>5047</v>
      </c>
      <c r="G2326" t="str">
        <f>"00481508"</f>
        <v>00481508</v>
      </c>
      <c r="H2326">
        <v>21.6</v>
      </c>
      <c r="I2326">
        <v>0</v>
      </c>
      <c r="M2326">
        <v>4</v>
      </c>
      <c r="N2326">
        <v>0</v>
      </c>
      <c r="O2326">
        <v>0</v>
      </c>
      <c r="P2326">
        <v>25.6</v>
      </c>
      <c r="Q2326">
        <v>0</v>
      </c>
      <c r="R2326">
        <v>0</v>
      </c>
      <c r="S2326">
        <v>6</v>
      </c>
      <c r="T2326">
        <v>0</v>
      </c>
      <c r="U2326" s="1">
        <v>0</v>
      </c>
      <c r="V2326">
        <v>31.6</v>
      </c>
    </row>
    <row r="2327" spans="1:22" ht="15">
      <c r="A2327" s="4">
        <v>2320</v>
      </c>
      <c r="B2327">
        <v>2572</v>
      </c>
      <c r="C2327" t="s">
        <v>5048</v>
      </c>
      <c r="D2327" t="s">
        <v>273</v>
      </c>
      <c r="E2327" t="s">
        <v>23</v>
      </c>
      <c r="F2327" t="s">
        <v>5049</v>
      </c>
      <c r="G2327" t="str">
        <f>"00532002"</f>
        <v>00532002</v>
      </c>
      <c r="H2327">
        <v>21.6</v>
      </c>
      <c r="I2327">
        <v>0</v>
      </c>
      <c r="M2327">
        <v>4</v>
      </c>
      <c r="N2327">
        <v>0</v>
      </c>
      <c r="O2327">
        <v>0</v>
      </c>
      <c r="P2327">
        <v>25.6</v>
      </c>
      <c r="Q2327">
        <v>0</v>
      </c>
      <c r="R2327">
        <v>0</v>
      </c>
      <c r="S2327">
        <v>6</v>
      </c>
      <c r="T2327">
        <v>0</v>
      </c>
      <c r="U2327" s="1">
        <v>0</v>
      </c>
      <c r="V2327">
        <v>31.6</v>
      </c>
    </row>
    <row r="2328" spans="1:22" ht="15">
      <c r="A2328" s="4">
        <v>2321</v>
      </c>
      <c r="B2328">
        <v>2565</v>
      </c>
      <c r="C2328" t="s">
        <v>5050</v>
      </c>
      <c r="D2328" t="s">
        <v>76</v>
      </c>
      <c r="E2328" t="s">
        <v>197</v>
      </c>
      <c r="F2328" t="s">
        <v>5051</v>
      </c>
      <c r="G2328" t="str">
        <f>"00474891"</f>
        <v>00474891</v>
      </c>
      <c r="H2328">
        <v>21.6</v>
      </c>
      <c r="I2328">
        <v>0</v>
      </c>
      <c r="M2328">
        <v>4</v>
      </c>
      <c r="N2328">
        <v>0</v>
      </c>
      <c r="O2328">
        <v>0</v>
      </c>
      <c r="P2328">
        <v>25.6</v>
      </c>
      <c r="Q2328">
        <v>0</v>
      </c>
      <c r="R2328">
        <v>0</v>
      </c>
      <c r="S2328">
        <v>6</v>
      </c>
      <c r="T2328">
        <v>0</v>
      </c>
      <c r="U2328" s="1">
        <v>0</v>
      </c>
      <c r="V2328">
        <v>31.6</v>
      </c>
    </row>
    <row r="2329" spans="1:22" ht="15">
      <c r="A2329" s="4">
        <v>2322</v>
      </c>
      <c r="B2329">
        <v>2724</v>
      </c>
      <c r="C2329" t="s">
        <v>5052</v>
      </c>
      <c r="D2329" t="s">
        <v>211</v>
      </c>
      <c r="E2329" t="s">
        <v>5053</v>
      </c>
      <c r="F2329" t="s">
        <v>5054</v>
      </c>
      <c r="G2329" t="str">
        <f>"00531748"</f>
        <v>00531748</v>
      </c>
      <c r="H2329">
        <v>21.6</v>
      </c>
      <c r="I2329">
        <v>0</v>
      </c>
      <c r="M2329">
        <v>4</v>
      </c>
      <c r="N2329">
        <v>0</v>
      </c>
      <c r="O2329">
        <v>0</v>
      </c>
      <c r="P2329">
        <v>25.6</v>
      </c>
      <c r="Q2329">
        <v>0</v>
      </c>
      <c r="R2329">
        <v>0</v>
      </c>
      <c r="S2329">
        <v>6</v>
      </c>
      <c r="T2329">
        <v>0</v>
      </c>
      <c r="U2329" s="1">
        <v>0</v>
      </c>
      <c r="V2329">
        <v>31.6</v>
      </c>
    </row>
    <row r="2330" spans="1:22" ht="15">
      <c r="A2330" s="4">
        <v>2323</v>
      </c>
      <c r="B2330">
        <v>673</v>
      </c>
      <c r="C2330" t="s">
        <v>5055</v>
      </c>
      <c r="D2330" t="s">
        <v>1596</v>
      </c>
      <c r="E2330" t="s">
        <v>90</v>
      </c>
      <c r="F2330" t="s">
        <v>5056</v>
      </c>
      <c r="G2330" t="str">
        <f>"00510959"</f>
        <v>00510959</v>
      </c>
      <c r="H2330">
        <v>21.6</v>
      </c>
      <c r="I2330">
        <v>0</v>
      </c>
      <c r="M2330">
        <v>4</v>
      </c>
      <c r="N2330">
        <v>0</v>
      </c>
      <c r="O2330">
        <v>0</v>
      </c>
      <c r="P2330">
        <v>25.6</v>
      </c>
      <c r="Q2330">
        <v>6</v>
      </c>
      <c r="R2330">
        <v>6</v>
      </c>
      <c r="S2330">
        <v>0</v>
      </c>
      <c r="T2330">
        <v>0</v>
      </c>
      <c r="U2330" s="1">
        <v>0</v>
      </c>
      <c r="V2330">
        <v>31.6</v>
      </c>
    </row>
    <row r="2331" spans="1:22" ht="15">
      <c r="A2331" s="4">
        <v>2324</v>
      </c>
      <c r="B2331">
        <v>2318</v>
      </c>
      <c r="C2331" t="s">
        <v>2845</v>
      </c>
      <c r="D2331" t="s">
        <v>3365</v>
      </c>
      <c r="E2331" t="s">
        <v>5057</v>
      </c>
      <c r="F2331" t="s">
        <v>5058</v>
      </c>
      <c r="G2331" t="str">
        <f>"00272348"</f>
        <v>00272348</v>
      </c>
      <c r="H2331">
        <v>21.6</v>
      </c>
      <c r="I2331">
        <v>10</v>
      </c>
      <c r="M2331">
        <v>0</v>
      </c>
      <c r="N2331">
        <v>0</v>
      </c>
      <c r="O2331">
        <v>0</v>
      </c>
      <c r="P2331">
        <v>31.6</v>
      </c>
      <c r="Q2331">
        <v>0</v>
      </c>
      <c r="R2331">
        <v>0</v>
      </c>
      <c r="S2331">
        <v>0</v>
      </c>
      <c r="T2331">
        <v>0</v>
      </c>
      <c r="U2331" s="1">
        <v>0</v>
      </c>
      <c r="V2331">
        <v>31.6</v>
      </c>
    </row>
    <row r="2332" spans="1:22" ht="15">
      <c r="A2332" s="4">
        <v>2325</v>
      </c>
      <c r="B2332">
        <v>2779</v>
      </c>
      <c r="C2332" t="s">
        <v>759</v>
      </c>
      <c r="D2332" t="s">
        <v>68</v>
      </c>
      <c r="E2332" t="s">
        <v>55</v>
      </c>
      <c r="F2332" t="s">
        <v>5059</v>
      </c>
      <c r="G2332" t="str">
        <f>"00530106"</f>
        <v>00530106</v>
      </c>
      <c r="H2332">
        <v>21.6</v>
      </c>
      <c r="I2332">
        <v>0</v>
      </c>
      <c r="M2332">
        <v>4</v>
      </c>
      <c r="N2332">
        <v>0</v>
      </c>
      <c r="O2332">
        <v>0</v>
      </c>
      <c r="P2332">
        <v>25.6</v>
      </c>
      <c r="Q2332">
        <v>0</v>
      </c>
      <c r="R2332">
        <v>0</v>
      </c>
      <c r="S2332">
        <v>6</v>
      </c>
      <c r="T2332">
        <v>0</v>
      </c>
      <c r="U2332" s="1">
        <v>0</v>
      </c>
      <c r="V2332">
        <v>31.6</v>
      </c>
    </row>
    <row r="2333" spans="1:22" ht="15">
      <c r="A2333" s="4">
        <v>2326</v>
      </c>
      <c r="B2333">
        <v>1165</v>
      </c>
      <c r="C2333" t="s">
        <v>1902</v>
      </c>
      <c r="D2333" t="s">
        <v>76</v>
      </c>
      <c r="E2333" t="s">
        <v>157</v>
      </c>
      <c r="F2333" t="s">
        <v>5060</v>
      </c>
      <c r="G2333" t="str">
        <f>"00530514"</f>
        <v>00530514</v>
      </c>
      <c r="H2333">
        <v>21.6</v>
      </c>
      <c r="I2333">
        <v>0</v>
      </c>
      <c r="M2333">
        <v>4</v>
      </c>
      <c r="N2333">
        <v>0</v>
      </c>
      <c r="O2333">
        <v>0</v>
      </c>
      <c r="P2333">
        <v>25.6</v>
      </c>
      <c r="Q2333">
        <v>0</v>
      </c>
      <c r="R2333">
        <v>0</v>
      </c>
      <c r="S2333">
        <v>6</v>
      </c>
      <c r="T2333">
        <v>0</v>
      </c>
      <c r="U2333" s="1">
        <v>0</v>
      </c>
      <c r="V2333">
        <v>31.6</v>
      </c>
    </row>
    <row r="2334" spans="1:22" ht="15">
      <c r="A2334" s="4">
        <v>2327</v>
      </c>
      <c r="B2334">
        <v>135</v>
      </c>
      <c r="C2334" t="s">
        <v>2942</v>
      </c>
      <c r="D2334" t="s">
        <v>173</v>
      </c>
      <c r="E2334" t="s">
        <v>327</v>
      </c>
      <c r="F2334" t="s">
        <v>5061</v>
      </c>
      <c r="G2334" t="str">
        <f>"00527847"</f>
        <v>00527847</v>
      </c>
      <c r="H2334">
        <v>21.6</v>
      </c>
      <c r="I2334">
        <v>0</v>
      </c>
      <c r="M2334">
        <v>4</v>
      </c>
      <c r="N2334">
        <v>0</v>
      </c>
      <c r="O2334">
        <v>0</v>
      </c>
      <c r="P2334">
        <v>25.6</v>
      </c>
      <c r="Q2334">
        <v>0</v>
      </c>
      <c r="R2334">
        <v>0</v>
      </c>
      <c r="S2334">
        <v>6</v>
      </c>
      <c r="T2334">
        <v>0</v>
      </c>
      <c r="U2334" s="1">
        <v>0</v>
      </c>
      <c r="V2334">
        <v>31.6</v>
      </c>
    </row>
    <row r="2335" spans="1:22" ht="15">
      <c r="A2335" s="4">
        <v>2328</v>
      </c>
      <c r="B2335">
        <v>2312</v>
      </c>
      <c r="C2335" t="s">
        <v>5062</v>
      </c>
      <c r="D2335" t="s">
        <v>193</v>
      </c>
      <c r="E2335" t="s">
        <v>30</v>
      </c>
      <c r="F2335" t="s">
        <v>5063</v>
      </c>
      <c r="G2335" t="str">
        <f>"00157026"</f>
        <v>00157026</v>
      </c>
      <c r="H2335">
        <v>14.4</v>
      </c>
      <c r="I2335">
        <v>0</v>
      </c>
      <c r="M2335">
        <v>4</v>
      </c>
      <c r="N2335">
        <v>0</v>
      </c>
      <c r="O2335">
        <v>0</v>
      </c>
      <c r="P2335">
        <v>18.4</v>
      </c>
      <c r="Q2335">
        <v>13</v>
      </c>
      <c r="R2335">
        <v>13</v>
      </c>
      <c r="S2335">
        <v>0</v>
      </c>
      <c r="T2335">
        <v>0</v>
      </c>
      <c r="U2335" s="1">
        <v>0</v>
      </c>
      <c r="V2335">
        <v>31.4</v>
      </c>
    </row>
    <row r="2336" spans="1:22" ht="15">
      <c r="A2336" s="4">
        <v>2329</v>
      </c>
      <c r="B2336">
        <v>501</v>
      </c>
      <c r="C2336" t="s">
        <v>5064</v>
      </c>
      <c r="D2336" t="s">
        <v>173</v>
      </c>
      <c r="E2336" t="s">
        <v>30</v>
      </c>
      <c r="F2336" t="s">
        <v>5065</v>
      </c>
      <c r="G2336" t="str">
        <f>"00531433"</f>
        <v>00531433</v>
      </c>
      <c r="H2336">
        <v>14.4</v>
      </c>
      <c r="I2336">
        <v>10</v>
      </c>
      <c r="M2336">
        <v>4</v>
      </c>
      <c r="N2336">
        <v>0</v>
      </c>
      <c r="O2336">
        <v>0</v>
      </c>
      <c r="P2336">
        <v>28.4</v>
      </c>
      <c r="Q2336">
        <v>0</v>
      </c>
      <c r="R2336">
        <v>0</v>
      </c>
      <c r="S2336">
        <v>3</v>
      </c>
      <c r="T2336">
        <v>0</v>
      </c>
      <c r="U2336" s="1">
        <v>0</v>
      </c>
      <c r="V2336">
        <v>31.4</v>
      </c>
    </row>
    <row r="2337" spans="1:22" ht="15">
      <c r="A2337" s="4">
        <v>2330</v>
      </c>
      <c r="B2337">
        <v>284</v>
      </c>
      <c r="C2337" t="s">
        <v>5066</v>
      </c>
      <c r="D2337" t="s">
        <v>26</v>
      </c>
      <c r="E2337" t="s">
        <v>317</v>
      </c>
      <c r="F2337" t="s">
        <v>5067</v>
      </c>
      <c r="G2337" t="str">
        <f>"201511027490"</f>
        <v>201511027490</v>
      </c>
      <c r="H2337">
        <v>14.4</v>
      </c>
      <c r="I2337">
        <v>10</v>
      </c>
      <c r="M2337">
        <v>4</v>
      </c>
      <c r="N2337">
        <v>0</v>
      </c>
      <c r="O2337">
        <v>0</v>
      </c>
      <c r="P2337">
        <v>28.4</v>
      </c>
      <c r="Q2337">
        <v>0</v>
      </c>
      <c r="R2337">
        <v>0</v>
      </c>
      <c r="S2337">
        <v>3</v>
      </c>
      <c r="T2337">
        <v>0</v>
      </c>
      <c r="U2337" s="1">
        <v>0</v>
      </c>
      <c r="V2337">
        <v>31.4</v>
      </c>
    </row>
    <row r="2338" spans="1:22" ht="15">
      <c r="A2338" s="4">
        <v>2331</v>
      </c>
      <c r="B2338">
        <v>1332</v>
      </c>
      <c r="C2338" t="s">
        <v>5068</v>
      </c>
      <c r="D2338" t="s">
        <v>643</v>
      </c>
      <c r="E2338" t="s">
        <v>5069</v>
      </c>
      <c r="F2338" t="s">
        <v>5070</v>
      </c>
      <c r="G2338" t="str">
        <f>"00478950"</f>
        <v>00478950</v>
      </c>
      <c r="H2338">
        <v>14.4</v>
      </c>
      <c r="I2338">
        <v>0</v>
      </c>
      <c r="L2338">
        <v>4</v>
      </c>
      <c r="M2338">
        <v>4</v>
      </c>
      <c r="N2338">
        <v>4</v>
      </c>
      <c r="O2338">
        <v>0</v>
      </c>
      <c r="P2338">
        <v>22.4</v>
      </c>
      <c r="Q2338">
        <v>9</v>
      </c>
      <c r="R2338">
        <v>9</v>
      </c>
      <c r="S2338">
        <v>0</v>
      </c>
      <c r="T2338">
        <v>0</v>
      </c>
      <c r="U2338" s="1">
        <v>0</v>
      </c>
      <c r="V2338">
        <v>31.4</v>
      </c>
    </row>
    <row r="2339" spans="1:22" ht="15">
      <c r="A2339" s="4">
        <v>2332</v>
      </c>
      <c r="B2339">
        <v>1301</v>
      </c>
      <c r="C2339" t="s">
        <v>5071</v>
      </c>
      <c r="D2339" t="s">
        <v>480</v>
      </c>
      <c r="E2339" t="s">
        <v>15</v>
      </c>
      <c r="F2339" t="s">
        <v>5072</v>
      </c>
      <c r="G2339" t="str">
        <f>"00530757"</f>
        <v>00530757</v>
      </c>
      <c r="H2339">
        <v>14.4</v>
      </c>
      <c r="I2339">
        <v>10</v>
      </c>
      <c r="M2339">
        <v>4</v>
      </c>
      <c r="N2339">
        <v>0</v>
      </c>
      <c r="O2339">
        <v>0</v>
      </c>
      <c r="P2339">
        <v>28.4</v>
      </c>
      <c r="Q2339">
        <v>0</v>
      </c>
      <c r="R2339">
        <v>0</v>
      </c>
      <c r="S2339">
        <v>3</v>
      </c>
      <c r="T2339">
        <v>0</v>
      </c>
      <c r="U2339" s="1">
        <v>0</v>
      </c>
      <c r="V2339">
        <v>31.4</v>
      </c>
    </row>
    <row r="2340" spans="1:22" ht="15">
      <c r="A2340" s="4">
        <v>2333</v>
      </c>
      <c r="B2340">
        <v>533</v>
      </c>
      <c r="C2340" t="s">
        <v>5073</v>
      </c>
      <c r="D2340" t="s">
        <v>363</v>
      </c>
      <c r="E2340" t="s">
        <v>11</v>
      </c>
      <c r="F2340" t="s">
        <v>5074</v>
      </c>
      <c r="G2340" t="str">
        <f>"00526478"</f>
        <v>00526478</v>
      </c>
      <c r="H2340">
        <v>14.4</v>
      </c>
      <c r="I2340">
        <v>0</v>
      </c>
      <c r="M2340">
        <v>4</v>
      </c>
      <c r="N2340">
        <v>0</v>
      </c>
      <c r="O2340">
        <v>0</v>
      </c>
      <c r="P2340">
        <v>18.4</v>
      </c>
      <c r="Q2340">
        <v>10</v>
      </c>
      <c r="R2340">
        <v>10</v>
      </c>
      <c r="S2340">
        <v>3</v>
      </c>
      <c r="T2340">
        <v>0</v>
      </c>
      <c r="U2340" s="1">
        <v>0</v>
      </c>
      <c r="V2340">
        <v>31.4</v>
      </c>
    </row>
    <row r="2341" spans="1:22" ht="15">
      <c r="A2341" s="4">
        <v>2334</v>
      </c>
      <c r="B2341">
        <v>138</v>
      </c>
      <c r="C2341" t="s">
        <v>786</v>
      </c>
      <c r="D2341" t="s">
        <v>127</v>
      </c>
      <c r="E2341" t="s">
        <v>11</v>
      </c>
      <c r="F2341" t="s">
        <v>5075</v>
      </c>
      <c r="G2341" t="str">
        <f>"00388269"</f>
        <v>00388269</v>
      </c>
      <c r="H2341">
        <v>14.4</v>
      </c>
      <c r="I2341">
        <v>0</v>
      </c>
      <c r="J2341">
        <v>8</v>
      </c>
      <c r="M2341">
        <v>4</v>
      </c>
      <c r="N2341">
        <v>8</v>
      </c>
      <c r="O2341">
        <v>2</v>
      </c>
      <c r="P2341">
        <v>28.4</v>
      </c>
      <c r="Q2341">
        <v>0</v>
      </c>
      <c r="R2341">
        <v>0</v>
      </c>
      <c r="S2341">
        <v>3</v>
      </c>
      <c r="T2341">
        <v>0</v>
      </c>
      <c r="U2341" s="1">
        <v>0</v>
      </c>
      <c r="V2341">
        <v>31.4</v>
      </c>
    </row>
    <row r="2342" spans="1:22" ht="15">
      <c r="A2342" s="4">
        <v>2335</v>
      </c>
      <c r="B2342">
        <v>999</v>
      </c>
      <c r="C2342" t="s">
        <v>5076</v>
      </c>
      <c r="D2342" t="s">
        <v>1006</v>
      </c>
      <c r="E2342" t="s">
        <v>51</v>
      </c>
      <c r="F2342" t="s">
        <v>5077</v>
      </c>
      <c r="G2342" t="str">
        <f>"00530603"</f>
        <v>00530603</v>
      </c>
      <c r="H2342">
        <v>25.32</v>
      </c>
      <c r="I2342">
        <v>0</v>
      </c>
      <c r="M2342">
        <v>0</v>
      </c>
      <c r="N2342">
        <v>0</v>
      </c>
      <c r="O2342">
        <v>0</v>
      </c>
      <c r="P2342">
        <v>25.32</v>
      </c>
      <c r="Q2342">
        <v>0</v>
      </c>
      <c r="R2342">
        <v>0</v>
      </c>
      <c r="S2342">
        <v>6</v>
      </c>
      <c r="T2342">
        <v>0</v>
      </c>
      <c r="U2342" s="1">
        <v>0</v>
      </c>
      <c r="V2342">
        <v>31.32</v>
      </c>
    </row>
    <row r="2343" spans="1:22" ht="15">
      <c r="A2343" s="4">
        <v>2336</v>
      </c>
      <c r="B2343">
        <v>235</v>
      </c>
      <c r="C2343" t="s">
        <v>5078</v>
      </c>
      <c r="D2343" t="s">
        <v>273</v>
      </c>
      <c r="E2343" t="s">
        <v>15</v>
      </c>
      <c r="F2343" t="s">
        <v>5079</v>
      </c>
      <c r="G2343" t="str">
        <f>"00483918"</f>
        <v>00483918</v>
      </c>
      <c r="H2343">
        <v>25.32</v>
      </c>
      <c r="I2343">
        <v>0</v>
      </c>
      <c r="M2343">
        <v>0</v>
      </c>
      <c r="N2343">
        <v>0</v>
      </c>
      <c r="O2343">
        <v>0</v>
      </c>
      <c r="P2343">
        <v>25.32</v>
      </c>
      <c r="Q2343">
        <v>6</v>
      </c>
      <c r="R2343">
        <v>6</v>
      </c>
      <c r="S2343">
        <v>0</v>
      </c>
      <c r="T2343">
        <v>0</v>
      </c>
      <c r="U2343" s="1">
        <v>0</v>
      </c>
      <c r="V2343">
        <v>31.32</v>
      </c>
    </row>
    <row r="2344" spans="1:22" ht="15">
      <c r="A2344" s="4">
        <v>2337</v>
      </c>
      <c r="B2344">
        <v>3324</v>
      </c>
      <c r="C2344" t="s">
        <v>485</v>
      </c>
      <c r="D2344" t="s">
        <v>5080</v>
      </c>
      <c r="E2344" t="s">
        <v>83</v>
      </c>
      <c r="F2344" t="s">
        <v>5081</v>
      </c>
      <c r="G2344" t="str">
        <f>"00534142"</f>
        <v>00534142</v>
      </c>
      <c r="H2344">
        <v>25.32</v>
      </c>
      <c r="I2344">
        <v>0</v>
      </c>
      <c r="M2344">
        <v>0</v>
      </c>
      <c r="N2344">
        <v>0</v>
      </c>
      <c r="O2344">
        <v>0</v>
      </c>
      <c r="P2344">
        <v>25.32</v>
      </c>
      <c r="Q2344">
        <v>0</v>
      </c>
      <c r="R2344">
        <v>0</v>
      </c>
      <c r="S2344">
        <v>6</v>
      </c>
      <c r="T2344">
        <v>0</v>
      </c>
      <c r="U2344" s="1">
        <v>0</v>
      </c>
      <c r="V2344">
        <v>31.32</v>
      </c>
    </row>
    <row r="2345" spans="1:22" ht="15">
      <c r="A2345" s="4">
        <v>2338</v>
      </c>
      <c r="B2345">
        <v>869</v>
      </c>
      <c r="C2345" t="s">
        <v>5082</v>
      </c>
      <c r="D2345" t="s">
        <v>357</v>
      </c>
      <c r="E2345" t="s">
        <v>15</v>
      </c>
      <c r="F2345" t="s">
        <v>5083</v>
      </c>
      <c r="G2345" t="str">
        <f>"00531286"</f>
        <v>00531286</v>
      </c>
      <c r="H2345">
        <v>24.28</v>
      </c>
      <c r="I2345">
        <v>0</v>
      </c>
      <c r="M2345">
        <v>4</v>
      </c>
      <c r="N2345">
        <v>0</v>
      </c>
      <c r="O2345">
        <v>0</v>
      </c>
      <c r="P2345">
        <v>28.28</v>
      </c>
      <c r="Q2345">
        <v>0</v>
      </c>
      <c r="R2345">
        <v>0</v>
      </c>
      <c r="S2345">
        <v>3</v>
      </c>
      <c r="T2345">
        <v>0</v>
      </c>
      <c r="U2345" s="1">
        <v>0</v>
      </c>
      <c r="V2345">
        <v>31.28</v>
      </c>
    </row>
    <row r="2346" spans="1:22" ht="15">
      <c r="A2346" s="4">
        <v>2339</v>
      </c>
      <c r="B2346">
        <v>1549</v>
      </c>
      <c r="C2346" t="s">
        <v>5084</v>
      </c>
      <c r="D2346" t="s">
        <v>4195</v>
      </c>
      <c r="E2346" t="s">
        <v>19</v>
      </c>
      <c r="F2346" t="s">
        <v>5085</v>
      </c>
      <c r="G2346" t="str">
        <f>"00532596"</f>
        <v>00532596</v>
      </c>
      <c r="H2346">
        <v>28.28</v>
      </c>
      <c r="I2346">
        <v>0</v>
      </c>
      <c r="M2346">
        <v>0</v>
      </c>
      <c r="N2346">
        <v>0</v>
      </c>
      <c r="O2346">
        <v>0</v>
      </c>
      <c r="P2346">
        <v>28.28</v>
      </c>
      <c r="Q2346">
        <v>0</v>
      </c>
      <c r="R2346">
        <v>0</v>
      </c>
      <c r="S2346">
        <v>3</v>
      </c>
      <c r="T2346">
        <v>0</v>
      </c>
      <c r="U2346" s="1">
        <v>0</v>
      </c>
      <c r="V2346">
        <v>31.28</v>
      </c>
    </row>
    <row r="2347" spans="1:22" ht="15">
      <c r="A2347" s="4">
        <v>2340</v>
      </c>
      <c r="B2347">
        <v>856</v>
      </c>
      <c r="C2347" t="s">
        <v>4597</v>
      </c>
      <c r="D2347" t="s">
        <v>5086</v>
      </c>
      <c r="E2347" t="s">
        <v>90</v>
      </c>
      <c r="F2347" t="s">
        <v>5087</v>
      </c>
      <c r="G2347" t="str">
        <f>"201511015213"</f>
        <v>201511015213</v>
      </c>
      <c r="H2347">
        <v>25.2</v>
      </c>
      <c r="I2347">
        <v>0</v>
      </c>
      <c r="M2347">
        <v>0</v>
      </c>
      <c r="N2347">
        <v>0</v>
      </c>
      <c r="O2347">
        <v>0</v>
      </c>
      <c r="P2347">
        <v>25.2</v>
      </c>
      <c r="Q2347">
        <v>0</v>
      </c>
      <c r="R2347">
        <v>0</v>
      </c>
      <c r="S2347">
        <v>6</v>
      </c>
      <c r="T2347">
        <v>0</v>
      </c>
      <c r="U2347" s="1">
        <v>0</v>
      </c>
      <c r="V2347">
        <v>31.2</v>
      </c>
    </row>
    <row r="2348" spans="1:22" ht="15">
      <c r="A2348" s="4">
        <v>2341</v>
      </c>
      <c r="B2348">
        <v>1156</v>
      </c>
      <c r="C2348" t="s">
        <v>5088</v>
      </c>
      <c r="D2348" t="s">
        <v>173</v>
      </c>
      <c r="E2348" t="s">
        <v>90</v>
      </c>
      <c r="F2348" t="s">
        <v>5089</v>
      </c>
      <c r="G2348" t="str">
        <f>"00506130"</f>
        <v>00506130</v>
      </c>
      <c r="H2348">
        <v>7.2</v>
      </c>
      <c r="I2348">
        <v>0</v>
      </c>
      <c r="M2348">
        <v>4</v>
      </c>
      <c r="N2348">
        <v>0</v>
      </c>
      <c r="O2348">
        <v>0</v>
      </c>
      <c r="P2348">
        <v>11.2</v>
      </c>
      <c r="Q2348">
        <v>11</v>
      </c>
      <c r="R2348">
        <v>11</v>
      </c>
      <c r="S2348">
        <v>9</v>
      </c>
      <c r="T2348">
        <v>0</v>
      </c>
      <c r="U2348" s="1">
        <v>0</v>
      </c>
      <c r="V2348">
        <v>31.2</v>
      </c>
    </row>
    <row r="2349" spans="1:22" ht="15">
      <c r="A2349" s="4">
        <v>2342</v>
      </c>
      <c r="B2349">
        <v>1822</v>
      </c>
      <c r="C2349" t="s">
        <v>5090</v>
      </c>
      <c r="D2349" t="s">
        <v>173</v>
      </c>
      <c r="E2349" t="s">
        <v>317</v>
      </c>
      <c r="F2349" t="s">
        <v>5091</v>
      </c>
      <c r="G2349" t="str">
        <f>"00483951"</f>
        <v>00483951</v>
      </c>
      <c r="H2349">
        <v>22.16</v>
      </c>
      <c r="I2349">
        <v>0</v>
      </c>
      <c r="M2349">
        <v>0</v>
      </c>
      <c r="N2349">
        <v>0</v>
      </c>
      <c r="O2349">
        <v>0</v>
      </c>
      <c r="P2349">
        <v>22.16</v>
      </c>
      <c r="Q2349">
        <v>6</v>
      </c>
      <c r="R2349">
        <v>6</v>
      </c>
      <c r="S2349">
        <v>3</v>
      </c>
      <c r="T2349">
        <v>0</v>
      </c>
      <c r="U2349" s="1">
        <v>0</v>
      </c>
      <c r="V2349">
        <v>31.16</v>
      </c>
    </row>
    <row r="2350" spans="1:22" ht="15">
      <c r="A2350" s="4">
        <v>2343</v>
      </c>
      <c r="B2350">
        <v>189</v>
      </c>
      <c r="C2350" t="s">
        <v>5092</v>
      </c>
      <c r="D2350" t="s">
        <v>160</v>
      </c>
      <c r="E2350" t="s">
        <v>59</v>
      </c>
      <c r="F2350" t="s">
        <v>5093</v>
      </c>
      <c r="G2350" t="str">
        <f>"00251468"</f>
        <v>00251468</v>
      </c>
      <c r="H2350">
        <v>22.12</v>
      </c>
      <c r="I2350">
        <v>0</v>
      </c>
      <c r="M2350">
        <v>0</v>
      </c>
      <c r="N2350">
        <v>0</v>
      </c>
      <c r="O2350">
        <v>0</v>
      </c>
      <c r="P2350">
        <v>22.12</v>
      </c>
      <c r="Q2350">
        <v>0</v>
      </c>
      <c r="R2350">
        <v>0</v>
      </c>
      <c r="S2350">
        <v>9</v>
      </c>
      <c r="T2350">
        <v>0</v>
      </c>
      <c r="U2350" s="1">
        <v>0</v>
      </c>
      <c r="V2350">
        <v>31.12</v>
      </c>
    </row>
    <row r="2351" spans="1:22" ht="15">
      <c r="A2351" s="4">
        <v>2344</v>
      </c>
      <c r="B2351">
        <v>3403</v>
      </c>
      <c r="C2351" t="s">
        <v>780</v>
      </c>
      <c r="D2351" t="s">
        <v>280</v>
      </c>
      <c r="E2351" t="s">
        <v>225</v>
      </c>
      <c r="F2351" t="s">
        <v>5094</v>
      </c>
      <c r="G2351" t="str">
        <f>"00076768"</f>
        <v>00076768</v>
      </c>
      <c r="H2351">
        <v>22.92</v>
      </c>
      <c r="I2351">
        <v>0</v>
      </c>
      <c r="M2351">
        <v>4</v>
      </c>
      <c r="N2351">
        <v>0</v>
      </c>
      <c r="O2351">
        <v>0</v>
      </c>
      <c r="P2351">
        <v>26.92</v>
      </c>
      <c r="Q2351">
        <v>4</v>
      </c>
      <c r="R2351">
        <v>4</v>
      </c>
      <c r="S2351">
        <v>0</v>
      </c>
      <c r="T2351">
        <v>0</v>
      </c>
      <c r="U2351" s="1">
        <v>0</v>
      </c>
      <c r="V2351">
        <v>30.92</v>
      </c>
    </row>
    <row r="2352" spans="1:22" ht="15">
      <c r="A2352" s="4">
        <v>2345</v>
      </c>
      <c r="B2352">
        <v>1611</v>
      </c>
      <c r="C2352" t="s">
        <v>5095</v>
      </c>
      <c r="D2352" t="s">
        <v>124</v>
      </c>
      <c r="E2352" t="s">
        <v>157</v>
      </c>
      <c r="F2352" t="s">
        <v>5096</v>
      </c>
      <c r="G2352" t="str">
        <f>"00187255"</f>
        <v>00187255</v>
      </c>
      <c r="H2352">
        <v>20.8</v>
      </c>
      <c r="I2352">
        <v>0</v>
      </c>
      <c r="L2352">
        <v>4</v>
      </c>
      <c r="M2352">
        <v>4</v>
      </c>
      <c r="N2352">
        <v>4</v>
      </c>
      <c r="O2352">
        <v>2</v>
      </c>
      <c r="P2352">
        <v>30.8</v>
      </c>
      <c r="Q2352">
        <v>0</v>
      </c>
      <c r="R2352">
        <v>0</v>
      </c>
      <c r="S2352">
        <v>0</v>
      </c>
      <c r="T2352">
        <v>0</v>
      </c>
      <c r="U2352" s="1">
        <v>0</v>
      </c>
      <c r="V2352">
        <v>30.8</v>
      </c>
    </row>
    <row r="2353" spans="1:22" ht="15">
      <c r="A2353" s="4">
        <v>2346</v>
      </c>
      <c r="B2353">
        <v>2479</v>
      </c>
      <c r="C2353" t="s">
        <v>5097</v>
      </c>
      <c r="D2353" t="s">
        <v>5098</v>
      </c>
      <c r="E2353" t="s">
        <v>19</v>
      </c>
      <c r="F2353" t="s">
        <v>5099</v>
      </c>
      <c r="G2353" t="str">
        <f>"00525219"</f>
        <v>00525219</v>
      </c>
      <c r="H2353">
        <v>24.8</v>
      </c>
      <c r="I2353">
        <v>0</v>
      </c>
      <c r="M2353">
        <v>0</v>
      </c>
      <c r="N2353">
        <v>0</v>
      </c>
      <c r="O2353">
        <v>0</v>
      </c>
      <c r="P2353">
        <v>24.8</v>
      </c>
      <c r="Q2353">
        <v>0</v>
      </c>
      <c r="R2353">
        <v>0</v>
      </c>
      <c r="S2353">
        <v>6</v>
      </c>
      <c r="T2353">
        <v>0</v>
      </c>
      <c r="U2353" s="1">
        <v>0</v>
      </c>
      <c r="V2353">
        <v>30.8</v>
      </c>
    </row>
    <row r="2354" spans="1:22" ht="15">
      <c r="A2354" s="4">
        <v>2347</v>
      </c>
      <c r="B2354">
        <v>2519</v>
      </c>
      <c r="C2354" t="s">
        <v>96</v>
      </c>
      <c r="D2354" t="s">
        <v>211</v>
      </c>
      <c r="E2354" t="s">
        <v>11</v>
      </c>
      <c r="F2354" t="s">
        <v>5100</v>
      </c>
      <c r="G2354" t="str">
        <f>"00532438"</f>
        <v>00532438</v>
      </c>
      <c r="H2354">
        <v>20.8</v>
      </c>
      <c r="I2354">
        <v>10</v>
      </c>
      <c r="M2354">
        <v>0</v>
      </c>
      <c r="N2354">
        <v>0</v>
      </c>
      <c r="O2354">
        <v>0</v>
      </c>
      <c r="P2354">
        <v>30.8</v>
      </c>
      <c r="Q2354">
        <v>0</v>
      </c>
      <c r="R2354">
        <v>0</v>
      </c>
      <c r="S2354">
        <v>0</v>
      </c>
      <c r="T2354">
        <v>0</v>
      </c>
      <c r="U2354" s="1">
        <v>0</v>
      </c>
      <c r="V2354">
        <v>30.8</v>
      </c>
    </row>
    <row r="2355" spans="1:22" ht="15">
      <c r="A2355" s="4">
        <v>2348</v>
      </c>
      <c r="B2355">
        <v>1249</v>
      </c>
      <c r="C2355" t="s">
        <v>96</v>
      </c>
      <c r="D2355" t="s">
        <v>363</v>
      </c>
      <c r="E2355" t="s">
        <v>90</v>
      </c>
      <c r="F2355" t="s">
        <v>5101</v>
      </c>
      <c r="G2355" t="str">
        <f>"00527021"</f>
        <v>00527021</v>
      </c>
      <c r="H2355">
        <v>28.8</v>
      </c>
      <c r="I2355">
        <v>0</v>
      </c>
      <c r="M2355">
        <v>0</v>
      </c>
      <c r="N2355">
        <v>0</v>
      </c>
      <c r="O2355">
        <v>2</v>
      </c>
      <c r="P2355">
        <v>30.8</v>
      </c>
      <c r="Q2355">
        <v>0</v>
      </c>
      <c r="R2355">
        <v>0</v>
      </c>
      <c r="S2355">
        <v>0</v>
      </c>
      <c r="T2355">
        <v>0</v>
      </c>
      <c r="U2355" s="1">
        <v>0</v>
      </c>
      <c r="V2355">
        <v>30.8</v>
      </c>
    </row>
    <row r="2356" spans="1:22" ht="15">
      <c r="A2356" s="4">
        <v>2349</v>
      </c>
      <c r="B2356">
        <v>923</v>
      </c>
      <c r="C2356" t="s">
        <v>5102</v>
      </c>
      <c r="D2356" t="s">
        <v>76</v>
      </c>
      <c r="E2356" t="s">
        <v>30</v>
      </c>
      <c r="F2356" t="s">
        <v>5103</v>
      </c>
      <c r="G2356" t="str">
        <f>"00442039"</f>
        <v>00442039</v>
      </c>
      <c r="H2356">
        <v>20.8</v>
      </c>
      <c r="I2356">
        <v>10</v>
      </c>
      <c r="M2356">
        <v>0</v>
      </c>
      <c r="N2356">
        <v>0</v>
      </c>
      <c r="O2356">
        <v>0</v>
      </c>
      <c r="P2356">
        <v>30.8</v>
      </c>
      <c r="Q2356">
        <v>0</v>
      </c>
      <c r="R2356">
        <v>0</v>
      </c>
      <c r="S2356">
        <v>0</v>
      </c>
      <c r="T2356">
        <v>0</v>
      </c>
      <c r="U2356" s="1">
        <v>0</v>
      </c>
      <c r="V2356">
        <v>30.8</v>
      </c>
    </row>
    <row r="2357" spans="1:22" ht="15">
      <c r="A2357" s="4">
        <v>2350</v>
      </c>
      <c r="B2357">
        <v>1665</v>
      </c>
      <c r="C2357" t="s">
        <v>5104</v>
      </c>
      <c r="D2357" t="s">
        <v>467</v>
      </c>
      <c r="E2357" t="s">
        <v>19</v>
      </c>
      <c r="F2357" t="s">
        <v>5105</v>
      </c>
      <c r="G2357" t="str">
        <f>"00507212"</f>
        <v>00507212</v>
      </c>
      <c r="H2357">
        <v>21.6</v>
      </c>
      <c r="I2357">
        <v>0</v>
      </c>
      <c r="M2357">
        <v>4</v>
      </c>
      <c r="N2357">
        <v>0</v>
      </c>
      <c r="O2357">
        <v>0</v>
      </c>
      <c r="P2357">
        <v>25.6</v>
      </c>
      <c r="Q2357">
        <v>5</v>
      </c>
      <c r="R2357">
        <v>5</v>
      </c>
      <c r="S2357">
        <v>0</v>
      </c>
      <c r="T2357">
        <v>0</v>
      </c>
      <c r="U2357" s="1">
        <v>0</v>
      </c>
      <c r="V2357">
        <v>30.6</v>
      </c>
    </row>
    <row r="2358" spans="1:22" ht="15">
      <c r="A2358" s="4">
        <v>2351</v>
      </c>
      <c r="B2358">
        <v>1211</v>
      </c>
      <c r="C2358" t="s">
        <v>1758</v>
      </c>
      <c r="D2358" t="s">
        <v>14</v>
      </c>
      <c r="E2358" t="s">
        <v>11</v>
      </c>
      <c r="F2358" t="s">
        <v>5106</v>
      </c>
      <c r="G2358" t="str">
        <f>"00526166"</f>
        <v>00526166</v>
      </c>
      <c r="H2358">
        <v>30.4</v>
      </c>
      <c r="I2358">
        <v>0</v>
      </c>
      <c r="M2358">
        <v>0</v>
      </c>
      <c r="N2358">
        <v>0</v>
      </c>
      <c r="O2358">
        <v>0</v>
      </c>
      <c r="P2358">
        <v>30.4</v>
      </c>
      <c r="Q2358">
        <v>0</v>
      </c>
      <c r="R2358">
        <v>0</v>
      </c>
      <c r="S2358">
        <v>0</v>
      </c>
      <c r="T2358">
        <v>0</v>
      </c>
      <c r="U2358" s="1">
        <v>0</v>
      </c>
      <c r="V2358">
        <v>30.4</v>
      </c>
    </row>
    <row r="2359" spans="1:22" ht="15">
      <c r="A2359" s="4">
        <v>2352</v>
      </c>
      <c r="B2359">
        <v>73</v>
      </c>
      <c r="C2359" t="s">
        <v>5107</v>
      </c>
      <c r="D2359" t="s">
        <v>76</v>
      </c>
      <c r="E2359" t="s">
        <v>5108</v>
      </c>
      <c r="F2359" t="s">
        <v>5109</v>
      </c>
      <c r="G2359" t="str">
        <f>"00471055"</f>
        <v>00471055</v>
      </c>
      <c r="H2359">
        <v>24.4</v>
      </c>
      <c r="I2359">
        <v>0</v>
      </c>
      <c r="M2359">
        <v>4</v>
      </c>
      <c r="N2359">
        <v>0</v>
      </c>
      <c r="O2359">
        <v>2</v>
      </c>
      <c r="P2359">
        <v>30.4</v>
      </c>
      <c r="Q2359">
        <v>0</v>
      </c>
      <c r="R2359">
        <v>0</v>
      </c>
      <c r="S2359">
        <v>0</v>
      </c>
      <c r="T2359">
        <v>0</v>
      </c>
      <c r="U2359" s="1">
        <v>0</v>
      </c>
      <c r="V2359">
        <v>30.4</v>
      </c>
    </row>
    <row r="2360" spans="1:22" ht="15">
      <c r="A2360" s="4">
        <v>2353</v>
      </c>
      <c r="B2360">
        <v>1632</v>
      </c>
      <c r="C2360" t="s">
        <v>5110</v>
      </c>
      <c r="D2360" t="s">
        <v>958</v>
      </c>
      <c r="E2360" t="s">
        <v>197</v>
      </c>
      <c r="F2360" t="s">
        <v>5111</v>
      </c>
      <c r="G2360" t="str">
        <f>"00140053"</f>
        <v>00140053</v>
      </c>
      <c r="H2360">
        <v>14.4</v>
      </c>
      <c r="I2360">
        <v>0</v>
      </c>
      <c r="L2360">
        <v>4</v>
      </c>
      <c r="M2360">
        <v>4</v>
      </c>
      <c r="N2360">
        <v>4</v>
      </c>
      <c r="O2360">
        <v>2</v>
      </c>
      <c r="P2360">
        <v>24.4</v>
      </c>
      <c r="Q2360">
        <v>6</v>
      </c>
      <c r="R2360">
        <v>6</v>
      </c>
      <c r="S2360">
        <v>0</v>
      </c>
      <c r="T2360">
        <v>0</v>
      </c>
      <c r="U2360" s="1">
        <v>0</v>
      </c>
      <c r="V2360">
        <v>30.4</v>
      </c>
    </row>
    <row r="2361" spans="1:22" ht="15">
      <c r="A2361" s="4">
        <v>2354</v>
      </c>
      <c r="B2361">
        <v>2378</v>
      </c>
      <c r="C2361" t="s">
        <v>4170</v>
      </c>
      <c r="D2361" t="s">
        <v>102</v>
      </c>
      <c r="E2361" t="s">
        <v>190</v>
      </c>
      <c r="F2361" t="s">
        <v>5112</v>
      </c>
      <c r="G2361" t="str">
        <f>"00532003"</f>
        <v>00532003</v>
      </c>
      <c r="H2361">
        <v>14.4</v>
      </c>
      <c r="I2361">
        <v>0</v>
      </c>
      <c r="K2361">
        <v>6</v>
      </c>
      <c r="L2361">
        <v>4</v>
      </c>
      <c r="M2361">
        <v>0</v>
      </c>
      <c r="N2361">
        <v>10</v>
      </c>
      <c r="O2361">
        <v>0</v>
      </c>
      <c r="P2361">
        <v>24.4</v>
      </c>
      <c r="Q2361">
        <v>0</v>
      </c>
      <c r="R2361">
        <v>0</v>
      </c>
      <c r="S2361">
        <v>6</v>
      </c>
      <c r="T2361">
        <v>0</v>
      </c>
      <c r="U2361" s="1">
        <v>0</v>
      </c>
      <c r="V2361">
        <v>30.4</v>
      </c>
    </row>
    <row r="2362" spans="1:22" ht="15">
      <c r="A2362" s="4">
        <v>2355</v>
      </c>
      <c r="B2362">
        <v>1582</v>
      </c>
      <c r="C2362" t="s">
        <v>5113</v>
      </c>
      <c r="D2362" t="s">
        <v>2005</v>
      </c>
      <c r="E2362" t="s">
        <v>112</v>
      </c>
      <c r="F2362" t="s">
        <v>5114</v>
      </c>
      <c r="G2362" t="str">
        <f>"00511949"</f>
        <v>00511949</v>
      </c>
      <c r="H2362">
        <v>24.28</v>
      </c>
      <c r="I2362">
        <v>0</v>
      </c>
      <c r="M2362">
        <v>0</v>
      </c>
      <c r="N2362">
        <v>0</v>
      </c>
      <c r="O2362">
        <v>0</v>
      </c>
      <c r="P2362">
        <v>24.28</v>
      </c>
      <c r="Q2362">
        <v>0</v>
      </c>
      <c r="R2362">
        <v>0</v>
      </c>
      <c r="S2362">
        <v>6</v>
      </c>
      <c r="T2362">
        <v>0</v>
      </c>
      <c r="U2362" s="1">
        <v>0</v>
      </c>
      <c r="V2362">
        <v>30.28</v>
      </c>
    </row>
    <row r="2363" spans="1:22" ht="15">
      <c r="A2363" s="4">
        <v>2356</v>
      </c>
      <c r="B2363">
        <v>3367</v>
      </c>
      <c r="C2363" t="s">
        <v>5115</v>
      </c>
      <c r="D2363" t="s">
        <v>5116</v>
      </c>
      <c r="E2363" t="s">
        <v>11</v>
      </c>
      <c r="F2363" t="s">
        <v>5117</v>
      </c>
      <c r="G2363" t="str">
        <f>"00533196"</f>
        <v>00533196</v>
      </c>
      <c r="H2363">
        <v>20.28</v>
      </c>
      <c r="I2363">
        <v>0</v>
      </c>
      <c r="M2363">
        <v>0</v>
      </c>
      <c r="N2363">
        <v>0</v>
      </c>
      <c r="O2363">
        <v>0</v>
      </c>
      <c r="P2363">
        <v>20.28</v>
      </c>
      <c r="Q2363">
        <v>4</v>
      </c>
      <c r="R2363">
        <v>4</v>
      </c>
      <c r="S2363">
        <v>6</v>
      </c>
      <c r="T2363">
        <v>0</v>
      </c>
      <c r="U2363" s="1">
        <v>0</v>
      </c>
      <c r="V2363">
        <v>30.28</v>
      </c>
    </row>
    <row r="2364" spans="1:22" ht="15">
      <c r="A2364" s="4">
        <v>2357</v>
      </c>
      <c r="B2364">
        <v>833</v>
      </c>
      <c r="C2364" t="s">
        <v>1674</v>
      </c>
      <c r="D2364" t="s">
        <v>189</v>
      </c>
      <c r="E2364" t="s">
        <v>317</v>
      </c>
      <c r="F2364" t="s">
        <v>5118</v>
      </c>
      <c r="G2364" t="str">
        <f>"00531077"</f>
        <v>00531077</v>
      </c>
      <c r="H2364">
        <v>20.28</v>
      </c>
      <c r="I2364">
        <v>0</v>
      </c>
      <c r="M2364">
        <v>4</v>
      </c>
      <c r="N2364">
        <v>0</v>
      </c>
      <c r="O2364">
        <v>0</v>
      </c>
      <c r="P2364">
        <v>24.28</v>
      </c>
      <c r="Q2364">
        <v>0</v>
      </c>
      <c r="R2364">
        <v>0</v>
      </c>
      <c r="S2364">
        <v>6</v>
      </c>
      <c r="T2364">
        <v>0</v>
      </c>
      <c r="U2364" s="1">
        <v>0</v>
      </c>
      <c r="V2364">
        <v>30.28</v>
      </c>
    </row>
    <row r="2365" spans="1:22" ht="15">
      <c r="A2365" s="4">
        <v>2358</v>
      </c>
      <c r="B2365">
        <v>1371</v>
      </c>
      <c r="C2365" t="s">
        <v>5119</v>
      </c>
      <c r="D2365" t="s">
        <v>29</v>
      </c>
      <c r="E2365" t="s">
        <v>30</v>
      </c>
      <c r="F2365" t="s">
        <v>5120</v>
      </c>
      <c r="G2365" t="str">
        <f>"00528779"</f>
        <v>00528779</v>
      </c>
      <c r="H2365">
        <v>20.16</v>
      </c>
      <c r="I2365">
        <v>0</v>
      </c>
      <c r="M2365">
        <v>4</v>
      </c>
      <c r="N2365">
        <v>0</v>
      </c>
      <c r="O2365">
        <v>0</v>
      </c>
      <c r="P2365">
        <v>24.16</v>
      </c>
      <c r="Q2365">
        <v>0</v>
      </c>
      <c r="R2365">
        <v>0</v>
      </c>
      <c r="S2365">
        <v>6</v>
      </c>
      <c r="T2365">
        <v>0</v>
      </c>
      <c r="U2365" s="1">
        <v>0</v>
      </c>
      <c r="V2365">
        <v>30.16</v>
      </c>
    </row>
    <row r="2366" spans="1:22" ht="15">
      <c r="A2366" s="4">
        <v>2359</v>
      </c>
      <c r="B2366">
        <v>712</v>
      </c>
      <c r="C2366" t="s">
        <v>4029</v>
      </c>
      <c r="D2366" t="s">
        <v>1202</v>
      </c>
      <c r="E2366" t="s">
        <v>1138</v>
      </c>
      <c r="F2366" t="s">
        <v>5121</v>
      </c>
      <c r="G2366" t="str">
        <f>"00321297"</f>
        <v>00321297</v>
      </c>
      <c r="H2366">
        <v>23.12</v>
      </c>
      <c r="I2366">
        <v>0</v>
      </c>
      <c r="M2366">
        <v>4</v>
      </c>
      <c r="N2366">
        <v>0</v>
      </c>
      <c r="O2366">
        <v>0</v>
      </c>
      <c r="P2366">
        <v>27.12</v>
      </c>
      <c r="Q2366">
        <v>0</v>
      </c>
      <c r="R2366">
        <v>0</v>
      </c>
      <c r="S2366">
        <v>3</v>
      </c>
      <c r="T2366">
        <v>0</v>
      </c>
      <c r="U2366" s="1">
        <v>0</v>
      </c>
      <c r="V2366">
        <v>30.12</v>
      </c>
    </row>
    <row r="2367" spans="1:22" ht="15">
      <c r="A2367" s="4">
        <v>2360</v>
      </c>
      <c r="B2367">
        <v>3053</v>
      </c>
      <c r="C2367" t="s">
        <v>5122</v>
      </c>
      <c r="D2367" t="s">
        <v>156</v>
      </c>
      <c r="E2367" t="s">
        <v>90</v>
      </c>
      <c r="F2367" t="s">
        <v>5123</v>
      </c>
      <c r="G2367" t="str">
        <f>"00532284"</f>
        <v>00532284</v>
      </c>
      <c r="H2367">
        <v>20</v>
      </c>
      <c r="I2367">
        <v>10</v>
      </c>
      <c r="M2367">
        <v>0</v>
      </c>
      <c r="N2367">
        <v>0</v>
      </c>
      <c r="O2367">
        <v>0</v>
      </c>
      <c r="P2367">
        <v>30</v>
      </c>
      <c r="Q2367">
        <v>0</v>
      </c>
      <c r="R2367">
        <v>0</v>
      </c>
      <c r="S2367">
        <v>0</v>
      </c>
      <c r="T2367">
        <v>0</v>
      </c>
      <c r="U2367" s="1">
        <v>0</v>
      </c>
      <c r="V2367">
        <v>30</v>
      </c>
    </row>
    <row r="2368" spans="1:22" ht="15">
      <c r="A2368" s="4">
        <v>2361</v>
      </c>
      <c r="B2368">
        <v>353</v>
      </c>
      <c r="C2368" t="s">
        <v>5124</v>
      </c>
      <c r="D2368" t="s">
        <v>5125</v>
      </c>
      <c r="E2368" t="s">
        <v>1401</v>
      </c>
      <c r="F2368" t="s">
        <v>5126</v>
      </c>
      <c r="G2368" t="str">
        <f>"00530040"</f>
        <v>00530040</v>
      </c>
      <c r="H2368">
        <v>26</v>
      </c>
      <c r="I2368">
        <v>0</v>
      </c>
      <c r="L2368">
        <v>4</v>
      </c>
      <c r="M2368">
        <v>0</v>
      </c>
      <c r="N2368">
        <v>4</v>
      </c>
      <c r="O2368">
        <v>0</v>
      </c>
      <c r="P2368">
        <v>30</v>
      </c>
      <c r="Q2368">
        <v>0</v>
      </c>
      <c r="R2368">
        <v>0</v>
      </c>
      <c r="S2368">
        <v>0</v>
      </c>
      <c r="T2368">
        <v>0</v>
      </c>
      <c r="U2368" s="1">
        <v>0</v>
      </c>
      <c r="V2368">
        <v>30</v>
      </c>
    </row>
    <row r="2369" spans="1:22" ht="15">
      <c r="A2369" s="4">
        <v>2362</v>
      </c>
      <c r="B2369">
        <v>1408</v>
      </c>
      <c r="C2369" t="s">
        <v>5127</v>
      </c>
      <c r="D2369" t="s">
        <v>477</v>
      </c>
      <c r="E2369" t="s">
        <v>11</v>
      </c>
      <c r="F2369" t="s">
        <v>5128</v>
      </c>
      <c r="G2369" t="str">
        <f>"00520770"</f>
        <v>00520770</v>
      </c>
      <c r="H2369">
        <v>22.92</v>
      </c>
      <c r="I2369">
        <v>0</v>
      </c>
      <c r="M2369">
        <v>0</v>
      </c>
      <c r="N2369">
        <v>0</v>
      </c>
      <c r="O2369">
        <v>0</v>
      </c>
      <c r="P2369">
        <v>22.92</v>
      </c>
      <c r="Q2369">
        <v>1</v>
      </c>
      <c r="R2369">
        <v>1</v>
      </c>
      <c r="S2369">
        <v>6</v>
      </c>
      <c r="T2369">
        <v>0</v>
      </c>
      <c r="U2369" s="1">
        <v>0</v>
      </c>
      <c r="V2369">
        <v>29.92</v>
      </c>
    </row>
    <row r="2370" spans="1:22" ht="15">
      <c r="A2370" s="4">
        <v>2363</v>
      </c>
      <c r="B2370">
        <v>557</v>
      </c>
      <c r="C2370" t="s">
        <v>5129</v>
      </c>
      <c r="D2370" t="s">
        <v>124</v>
      </c>
      <c r="E2370" t="s">
        <v>55</v>
      </c>
      <c r="F2370" t="s">
        <v>5130</v>
      </c>
      <c r="G2370" t="str">
        <f>"201511012456"</f>
        <v>201511012456</v>
      </c>
      <c r="H2370">
        <v>16.8</v>
      </c>
      <c r="I2370">
        <v>10</v>
      </c>
      <c r="M2370">
        <v>0</v>
      </c>
      <c r="N2370">
        <v>0</v>
      </c>
      <c r="O2370">
        <v>0</v>
      </c>
      <c r="P2370">
        <v>26.8</v>
      </c>
      <c r="Q2370">
        <v>3</v>
      </c>
      <c r="R2370">
        <v>3</v>
      </c>
      <c r="S2370">
        <v>0</v>
      </c>
      <c r="T2370">
        <v>0</v>
      </c>
      <c r="U2370" s="1">
        <v>0</v>
      </c>
      <c r="V2370">
        <v>29.8</v>
      </c>
    </row>
    <row r="2371" spans="1:22" ht="15">
      <c r="A2371" s="4">
        <v>2364</v>
      </c>
      <c r="B2371">
        <v>3232</v>
      </c>
      <c r="C2371" t="s">
        <v>5131</v>
      </c>
      <c r="D2371" t="s">
        <v>273</v>
      </c>
      <c r="E2371" t="s">
        <v>5132</v>
      </c>
      <c r="F2371" t="s">
        <v>5133</v>
      </c>
      <c r="G2371" t="str">
        <f>"00530679"</f>
        <v>00530679</v>
      </c>
      <c r="H2371">
        <v>23.72</v>
      </c>
      <c r="I2371">
        <v>0</v>
      </c>
      <c r="M2371">
        <v>0</v>
      </c>
      <c r="N2371">
        <v>0</v>
      </c>
      <c r="O2371">
        <v>0</v>
      </c>
      <c r="P2371">
        <v>23.72</v>
      </c>
      <c r="Q2371">
        <v>0</v>
      </c>
      <c r="R2371">
        <v>0</v>
      </c>
      <c r="S2371">
        <v>6</v>
      </c>
      <c r="T2371">
        <v>0</v>
      </c>
      <c r="U2371" s="1">
        <v>0</v>
      </c>
      <c r="V2371">
        <v>29.72</v>
      </c>
    </row>
    <row r="2372" spans="1:22" ht="15">
      <c r="A2372" s="4">
        <v>2365</v>
      </c>
      <c r="B2372">
        <v>1894</v>
      </c>
      <c r="C2372" t="s">
        <v>5134</v>
      </c>
      <c r="D2372" t="s">
        <v>89</v>
      </c>
      <c r="E2372" t="s">
        <v>1299</v>
      </c>
      <c r="F2372" t="s">
        <v>5135</v>
      </c>
      <c r="G2372" t="str">
        <f>"00152208"</f>
        <v>00152208</v>
      </c>
      <c r="H2372">
        <v>19.72</v>
      </c>
      <c r="I2372">
        <v>0</v>
      </c>
      <c r="M2372">
        <v>4</v>
      </c>
      <c r="N2372">
        <v>0</v>
      </c>
      <c r="O2372">
        <v>0</v>
      </c>
      <c r="P2372">
        <v>23.72</v>
      </c>
      <c r="Q2372">
        <v>0</v>
      </c>
      <c r="R2372">
        <v>0</v>
      </c>
      <c r="S2372">
        <v>6</v>
      </c>
      <c r="T2372">
        <v>0</v>
      </c>
      <c r="U2372" s="1">
        <v>0</v>
      </c>
      <c r="V2372">
        <v>29.72</v>
      </c>
    </row>
    <row r="2373" spans="1:22" ht="15">
      <c r="A2373" s="4">
        <v>2366</v>
      </c>
      <c r="B2373">
        <v>3091</v>
      </c>
      <c r="C2373" t="s">
        <v>5136</v>
      </c>
      <c r="D2373" t="s">
        <v>5137</v>
      </c>
      <c r="E2373" t="s">
        <v>5138</v>
      </c>
      <c r="F2373" t="s">
        <v>5139</v>
      </c>
      <c r="G2373" t="str">
        <f>"00445551"</f>
        <v>00445551</v>
      </c>
      <c r="H2373">
        <v>19.72</v>
      </c>
      <c r="I2373">
        <v>0</v>
      </c>
      <c r="M2373">
        <v>4</v>
      </c>
      <c r="N2373">
        <v>0</v>
      </c>
      <c r="O2373">
        <v>0</v>
      </c>
      <c r="P2373">
        <v>23.72</v>
      </c>
      <c r="Q2373">
        <v>0</v>
      </c>
      <c r="R2373">
        <v>0</v>
      </c>
      <c r="S2373">
        <v>6</v>
      </c>
      <c r="T2373">
        <v>0</v>
      </c>
      <c r="U2373" s="1">
        <v>0</v>
      </c>
      <c r="V2373">
        <v>29.72</v>
      </c>
    </row>
    <row r="2374" spans="1:22" ht="15">
      <c r="A2374" s="4">
        <v>2367</v>
      </c>
      <c r="B2374">
        <v>1904</v>
      </c>
      <c r="C2374" t="s">
        <v>5140</v>
      </c>
      <c r="D2374" t="s">
        <v>5141</v>
      </c>
      <c r="E2374" t="s">
        <v>514</v>
      </c>
      <c r="F2374" t="s">
        <v>5142</v>
      </c>
      <c r="G2374" t="str">
        <f>"00530939"</f>
        <v>00530939</v>
      </c>
      <c r="H2374">
        <v>15.68</v>
      </c>
      <c r="I2374">
        <v>10</v>
      </c>
      <c r="L2374">
        <v>4</v>
      </c>
      <c r="M2374">
        <v>0</v>
      </c>
      <c r="N2374">
        <v>4</v>
      </c>
      <c r="O2374">
        <v>0</v>
      </c>
      <c r="P2374">
        <v>29.68</v>
      </c>
      <c r="Q2374">
        <v>0</v>
      </c>
      <c r="R2374">
        <v>0</v>
      </c>
      <c r="S2374">
        <v>0</v>
      </c>
      <c r="T2374">
        <v>0</v>
      </c>
      <c r="U2374" s="1">
        <v>0</v>
      </c>
      <c r="V2374">
        <v>29.68</v>
      </c>
    </row>
    <row r="2375" spans="1:22" ht="15">
      <c r="A2375" s="4">
        <v>2368</v>
      </c>
      <c r="B2375">
        <v>255</v>
      </c>
      <c r="C2375" t="s">
        <v>5143</v>
      </c>
      <c r="D2375" t="s">
        <v>121</v>
      </c>
      <c r="E2375" t="s">
        <v>15</v>
      </c>
      <c r="F2375" t="s">
        <v>5144</v>
      </c>
      <c r="G2375" t="str">
        <f>"00456089"</f>
        <v>00456089</v>
      </c>
      <c r="H2375">
        <v>21.6</v>
      </c>
      <c r="I2375">
        <v>0</v>
      </c>
      <c r="L2375">
        <v>4</v>
      </c>
      <c r="M2375">
        <v>4</v>
      </c>
      <c r="N2375">
        <v>4</v>
      </c>
      <c r="O2375">
        <v>0</v>
      </c>
      <c r="P2375">
        <v>29.6</v>
      </c>
      <c r="Q2375">
        <v>0</v>
      </c>
      <c r="R2375">
        <v>0</v>
      </c>
      <c r="S2375">
        <v>0</v>
      </c>
      <c r="T2375">
        <v>0</v>
      </c>
      <c r="U2375" s="1">
        <v>0</v>
      </c>
      <c r="V2375">
        <v>29.6</v>
      </c>
    </row>
    <row r="2376" spans="1:22" ht="15">
      <c r="A2376" s="4">
        <v>2369</v>
      </c>
      <c r="B2376">
        <v>956</v>
      </c>
      <c r="C2376" t="s">
        <v>5145</v>
      </c>
      <c r="D2376" t="s">
        <v>82</v>
      </c>
      <c r="E2376" t="s">
        <v>83</v>
      </c>
      <c r="F2376" t="s">
        <v>5146</v>
      </c>
      <c r="G2376" t="str">
        <f>"00512420"</f>
        <v>00512420</v>
      </c>
      <c r="H2376">
        <v>25.6</v>
      </c>
      <c r="I2376">
        <v>0</v>
      </c>
      <c r="L2376">
        <v>4</v>
      </c>
      <c r="M2376">
        <v>0</v>
      </c>
      <c r="N2376">
        <v>4</v>
      </c>
      <c r="O2376">
        <v>0</v>
      </c>
      <c r="P2376">
        <v>29.6</v>
      </c>
      <c r="Q2376">
        <v>0</v>
      </c>
      <c r="R2376">
        <v>0</v>
      </c>
      <c r="S2376">
        <v>0</v>
      </c>
      <c r="T2376">
        <v>0</v>
      </c>
      <c r="U2376" s="1">
        <v>0</v>
      </c>
      <c r="V2376">
        <v>29.6</v>
      </c>
    </row>
    <row r="2377" spans="1:22" ht="15">
      <c r="A2377" s="4">
        <v>2370</v>
      </c>
      <c r="B2377">
        <v>213</v>
      </c>
      <c r="C2377" t="s">
        <v>5147</v>
      </c>
      <c r="D2377" t="s">
        <v>121</v>
      </c>
      <c r="E2377" t="s">
        <v>18</v>
      </c>
      <c r="F2377" t="s">
        <v>5148</v>
      </c>
      <c r="G2377" t="str">
        <f>"00512346"</f>
        <v>00512346</v>
      </c>
      <c r="H2377">
        <v>21.6</v>
      </c>
      <c r="I2377">
        <v>0</v>
      </c>
      <c r="L2377">
        <v>4</v>
      </c>
      <c r="M2377">
        <v>4</v>
      </c>
      <c r="N2377">
        <v>4</v>
      </c>
      <c r="O2377">
        <v>0</v>
      </c>
      <c r="P2377">
        <v>29.6</v>
      </c>
      <c r="Q2377">
        <v>0</v>
      </c>
      <c r="R2377">
        <v>0</v>
      </c>
      <c r="S2377">
        <v>0</v>
      </c>
      <c r="T2377">
        <v>0</v>
      </c>
      <c r="U2377" s="1">
        <v>0</v>
      </c>
      <c r="V2377">
        <v>29.6</v>
      </c>
    </row>
    <row r="2378" spans="1:22" ht="15">
      <c r="A2378" s="4">
        <v>2371</v>
      </c>
      <c r="B2378">
        <v>1705</v>
      </c>
      <c r="C2378" t="s">
        <v>5149</v>
      </c>
      <c r="D2378" t="s">
        <v>280</v>
      </c>
      <c r="E2378" t="s">
        <v>59</v>
      </c>
      <c r="F2378" t="s">
        <v>5150</v>
      </c>
      <c r="G2378" t="str">
        <f>"00507767"</f>
        <v>00507767</v>
      </c>
      <c r="H2378">
        <v>21.6</v>
      </c>
      <c r="I2378">
        <v>0</v>
      </c>
      <c r="L2378">
        <v>4</v>
      </c>
      <c r="M2378">
        <v>4</v>
      </c>
      <c r="N2378">
        <v>4</v>
      </c>
      <c r="O2378">
        <v>0</v>
      </c>
      <c r="P2378">
        <v>29.6</v>
      </c>
      <c r="Q2378">
        <v>0</v>
      </c>
      <c r="R2378">
        <v>0</v>
      </c>
      <c r="S2378">
        <v>0</v>
      </c>
      <c r="T2378">
        <v>0</v>
      </c>
      <c r="U2378" s="1">
        <v>0</v>
      </c>
      <c r="V2378">
        <v>29.6</v>
      </c>
    </row>
    <row r="2379" spans="1:22" ht="15">
      <c r="A2379" s="4">
        <v>2372</v>
      </c>
      <c r="B2379">
        <v>2879</v>
      </c>
      <c r="C2379" t="s">
        <v>5151</v>
      </c>
      <c r="D2379" t="s">
        <v>157</v>
      </c>
      <c r="E2379" t="s">
        <v>59</v>
      </c>
      <c r="F2379" t="s">
        <v>5152</v>
      </c>
      <c r="G2379" t="str">
        <f>"00501187"</f>
        <v>00501187</v>
      </c>
      <c r="H2379">
        <v>21.6</v>
      </c>
      <c r="I2379">
        <v>0</v>
      </c>
      <c r="L2379">
        <v>4</v>
      </c>
      <c r="M2379">
        <v>4</v>
      </c>
      <c r="N2379">
        <v>4</v>
      </c>
      <c r="O2379">
        <v>0</v>
      </c>
      <c r="P2379">
        <v>29.6</v>
      </c>
      <c r="Q2379">
        <v>0</v>
      </c>
      <c r="R2379">
        <v>0</v>
      </c>
      <c r="S2379">
        <v>0</v>
      </c>
      <c r="T2379">
        <v>0</v>
      </c>
      <c r="U2379" s="1">
        <v>0</v>
      </c>
      <c r="V2379">
        <v>29.6</v>
      </c>
    </row>
    <row r="2380" spans="1:22" ht="15">
      <c r="A2380" s="4">
        <v>2373</v>
      </c>
      <c r="B2380">
        <v>2588</v>
      </c>
      <c r="C2380" t="s">
        <v>5153</v>
      </c>
      <c r="D2380" t="s">
        <v>363</v>
      </c>
      <c r="E2380" t="s">
        <v>5154</v>
      </c>
      <c r="F2380" t="s">
        <v>5155</v>
      </c>
      <c r="G2380" t="str">
        <f>"00532150"</f>
        <v>00532150</v>
      </c>
      <c r="H2380">
        <v>29.6</v>
      </c>
      <c r="I2380">
        <v>0</v>
      </c>
      <c r="M2380">
        <v>0</v>
      </c>
      <c r="N2380">
        <v>0</v>
      </c>
      <c r="O2380">
        <v>0</v>
      </c>
      <c r="P2380">
        <v>29.6</v>
      </c>
      <c r="Q2380">
        <v>0</v>
      </c>
      <c r="R2380">
        <v>0</v>
      </c>
      <c r="S2380">
        <v>0</v>
      </c>
      <c r="T2380">
        <v>0</v>
      </c>
      <c r="U2380" s="1">
        <v>0</v>
      </c>
      <c r="V2380">
        <v>29.6</v>
      </c>
    </row>
    <row r="2381" spans="1:22" ht="15">
      <c r="A2381" s="4">
        <v>2374</v>
      </c>
      <c r="B2381">
        <v>2811</v>
      </c>
      <c r="C2381" t="s">
        <v>5156</v>
      </c>
      <c r="D2381" t="s">
        <v>68</v>
      </c>
      <c r="E2381" t="s">
        <v>112</v>
      </c>
      <c r="F2381" t="s">
        <v>5157</v>
      </c>
      <c r="G2381" t="str">
        <f>"00001867"</f>
        <v>00001867</v>
      </c>
      <c r="H2381">
        <v>21.6</v>
      </c>
      <c r="I2381">
        <v>0</v>
      </c>
      <c r="L2381">
        <v>4</v>
      </c>
      <c r="M2381">
        <v>4</v>
      </c>
      <c r="N2381">
        <v>4</v>
      </c>
      <c r="O2381">
        <v>0</v>
      </c>
      <c r="P2381">
        <v>29.6</v>
      </c>
      <c r="Q2381">
        <v>0</v>
      </c>
      <c r="R2381">
        <v>0</v>
      </c>
      <c r="S2381">
        <v>0</v>
      </c>
      <c r="T2381">
        <v>0</v>
      </c>
      <c r="U2381" s="1">
        <v>0</v>
      </c>
      <c r="V2381">
        <v>29.6</v>
      </c>
    </row>
    <row r="2382" spans="1:22" ht="15">
      <c r="A2382" s="4">
        <v>2375</v>
      </c>
      <c r="B2382">
        <v>2350</v>
      </c>
      <c r="C2382" t="s">
        <v>5158</v>
      </c>
      <c r="D2382" t="s">
        <v>179</v>
      </c>
      <c r="E2382" t="s">
        <v>90</v>
      </c>
      <c r="F2382" t="s">
        <v>5159</v>
      </c>
      <c r="G2382" t="str">
        <f>"00531011"</f>
        <v>00531011</v>
      </c>
      <c r="H2382">
        <v>21.6</v>
      </c>
      <c r="I2382">
        <v>0</v>
      </c>
      <c r="L2382">
        <v>4</v>
      </c>
      <c r="M2382">
        <v>4</v>
      </c>
      <c r="N2382">
        <v>4</v>
      </c>
      <c r="O2382">
        <v>0</v>
      </c>
      <c r="P2382">
        <v>29.6</v>
      </c>
      <c r="Q2382">
        <v>0</v>
      </c>
      <c r="R2382">
        <v>0</v>
      </c>
      <c r="S2382">
        <v>0</v>
      </c>
      <c r="T2382">
        <v>0</v>
      </c>
      <c r="U2382" s="1">
        <v>0</v>
      </c>
      <c r="V2382">
        <v>29.6</v>
      </c>
    </row>
    <row r="2383" spans="1:22" ht="15">
      <c r="A2383" s="4">
        <v>2376</v>
      </c>
      <c r="B2383">
        <v>1553</v>
      </c>
      <c r="C2383" t="s">
        <v>5160</v>
      </c>
      <c r="D2383" t="s">
        <v>4727</v>
      </c>
      <c r="E2383" t="s">
        <v>30</v>
      </c>
      <c r="F2383" t="s">
        <v>5161</v>
      </c>
      <c r="G2383" t="str">
        <f>"201511008400"</f>
        <v>201511008400</v>
      </c>
      <c r="H2383">
        <v>21.6</v>
      </c>
      <c r="I2383">
        <v>0</v>
      </c>
      <c r="L2383">
        <v>4</v>
      </c>
      <c r="M2383">
        <v>4</v>
      </c>
      <c r="N2383">
        <v>4</v>
      </c>
      <c r="O2383">
        <v>0</v>
      </c>
      <c r="P2383">
        <v>29.6</v>
      </c>
      <c r="Q2383">
        <v>0</v>
      </c>
      <c r="R2383">
        <v>0</v>
      </c>
      <c r="S2383">
        <v>0</v>
      </c>
      <c r="T2383">
        <v>0</v>
      </c>
      <c r="U2383" s="1">
        <v>0</v>
      </c>
      <c r="V2383">
        <v>29.6</v>
      </c>
    </row>
    <row r="2384" spans="1:22" ht="15">
      <c r="A2384" s="4">
        <v>2377</v>
      </c>
      <c r="B2384">
        <v>1283</v>
      </c>
      <c r="C2384" t="s">
        <v>400</v>
      </c>
      <c r="D2384" t="s">
        <v>287</v>
      </c>
      <c r="E2384" t="s">
        <v>73</v>
      </c>
      <c r="F2384" t="s">
        <v>5162</v>
      </c>
      <c r="G2384" t="str">
        <f>"201602000432"</f>
        <v>201602000432</v>
      </c>
      <c r="H2384">
        <v>21.6</v>
      </c>
      <c r="I2384">
        <v>0</v>
      </c>
      <c r="L2384">
        <v>4</v>
      </c>
      <c r="M2384">
        <v>4</v>
      </c>
      <c r="N2384">
        <v>4</v>
      </c>
      <c r="O2384">
        <v>0</v>
      </c>
      <c r="P2384">
        <v>29.6</v>
      </c>
      <c r="Q2384">
        <v>0</v>
      </c>
      <c r="R2384">
        <v>0</v>
      </c>
      <c r="S2384">
        <v>0</v>
      </c>
      <c r="T2384">
        <v>0</v>
      </c>
      <c r="U2384" s="1">
        <v>0</v>
      </c>
      <c r="V2384">
        <v>29.6</v>
      </c>
    </row>
    <row r="2385" spans="1:22" ht="15">
      <c r="A2385" s="4">
        <v>2378</v>
      </c>
      <c r="B2385">
        <v>405</v>
      </c>
      <c r="C2385" t="s">
        <v>533</v>
      </c>
      <c r="D2385" t="s">
        <v>5163</v>
      </c>
      <c r="E2385" t="s">
        <v>51</v>
      </c>
      <c r="F2385" t="s">
        <v>5164</v>
      </c>
      <c r="G2385" t="str">
        <f>"00441625"</f>
        <v>00441625</v>
      </c>
      <c r="H2385">
        <v>26.56</v>
      </c>
      <c r="I2385">
        <v>0</v>
      </c>
      <c r="M2385">
        <v>0</v>
      </c>
      <c r="N2385">
        <v>0</v>
      </c>
      <c r="O2385">
        <v>0</v>
      </c>
      <c r="P2385">
        <v>26.56</v>
      </c>
      <c r="Q2385">
        <v>0</v>
      </c>
      <c r="R2385">
        <v>0</v>
      </c>
      <c r="S2385">
        <v>3</v>
      </c>
      <c r="T2385">
        <v>0</v>
      </c>
      <c r="U2385" s="1">
        <v>0</v>
      </c>
      <c r="V2385">
        <v>29.56</v>
      </c>
    </row>
    <row r="2386" spans="1:22" ht="15">
      <c r="A2386" s="4">
        <v>2379</v>
      </c>
      <c r="B2386">
        <v>2923</v>
      </c>
      <c r="C2386" t="s">
        <v>5165</v>
      </c>
      <c r="D2386" t="s">
        <v>5166</v>
      </c>
      <c r="E2386" t="s">
        <v>19</v>
      </c>
      <c r="F2386" t="s">
        <v>5167</v>
      </c>
      <c r="G2386" t="str">
        <f>"201511006786"</f>
        <v>201511006786</v>
      </c>
      <c r="H2386">
        <v>22.56</v>
      </c>
      <c r="I2386">
        <v>0</v>
      </c>
      <c r="M2386">
        <v>4</v>
      </c>
      <c r="N2386">
        <v>0</v>
      </c>
      <c r="O2386">
        <v>0</v>
      </c>
      <c r="P2386">
        <v>26.56</v>
      </c>
      <c r="Q2386">
        <v>0</v>
      </c>
      <c r="R2386">
        <v>0</v>
      </c>
      <c r="S2386">
        <v>3</v>
      </c>
      <c r="T2386">
        <v>0</v>
      </c>
      <c r="U2386" s="1">
        <v>0</v>
      </c>
      <c r="V2386">
        <v>29.56</v>
      </c>
    </row>
    <row r="2387" spans="1:22" ht="15">
      <c r="A2387" s="4">
        <v>2380</v>
      </c>
      <c r="B2387">
        <v>1905</v>
      </c>
      <c r="C2387" t="s">
        <v>5168</v>
      </c>
      <c r="D2387" t="s">
        <v>173</v>
      </c>
      <c r="E2387" t="s">
        <v>5169</v>
      </c>
      <c r="F2387" t="s">
        <v>5170</v>
      </c>
      <c r="G2387" t="str">
        <f>"00531365"</f>
        <v>00531365</v>
      </c>
      <c r="H2387">
        <v>21.44</v>
      </c>
      <c r="I2387">
        <v>0</v>
      </c>
      <c r="M2387">
        <v>0</v>
      </c>
      <c r="N2387">
        <v>0</v>
      </c>
      <c r="O2387">
        <v>0</v>
      </c>
      <c r="P2387">
        <v>21.44</v>
      </c>
      <c r="Q2387">
        <v>8</v>
      </c>
      <c r="R2387">
        <v>8</v>
      </c>
      <c r="S2387">
        <v>0</v>
      </c>
      <c r="T2387">
        <v>0</v>
      </c>
      <c r="U2387" s="1">
        <v>0</v>
      </c>
      <c r="V2387">
        <v>29.44</v>
      </c>
    </row>
    <row r="2388" spans="1:22" ht="15">
      <c r="A2388" s="4">
        <v>2381</v>
      </c>
      <c r="B2388">
        <v>1252</v>
      </c>
      <c r="C2388" t="s">
        <v>5171</v>
      </c>
      <c r="D2388" t="s">
        <v>5172</v>
      </c>
      <c r="E2388" t="s">
        <v>11</v>
      </c>
      <c r="F2388" t="s">
        <v>5173</v>
      </c>
      <c r="G2388" t="str">
        <f>"00516673"</f>
        <v>00516673</v>
      </c>
      <c r="H2388">
        <v>19.44</v>
      </c>
      <c r="I2388">
        <v>0</v>
      </c>
      <c r="M2388">
        <v>0</v>
      </c>
      <c r="N2388">
        <v>0</v>
      </c>
      <c r="O2388">
        <v>0</v>
      </c>
      <c r="P2388">
        <v>19.44</v>
      </c>
      <c r="Q2388">
        <v>4</v>
      </c>
      <c r="R2388">
        <v>4</v>
      </c>
      <c r="S2388">
        <v>6</v>
      </c>
      <c r="T2388">
        <v>0</v>
      </c>
      <c r="U2388" s="1">
        <v>0</v>
      </c>
      <c r="V2388">
        <v>29.44</v>
      </c>
    </row>
    <row r="2389" spans="1:22" ht="15">
      <c r="A2389" s="4">
        <v>2382</v>
      </c>
      <c r="B2389">
        <v>3384</v>
      </c>
      <c r="C2389" t="s">
        <v>5174</v>
      </c>
      <c r="D2389" t="s">
        <v>89</v>
      </c>
      <c r="E2389" t="s">
        <v>73</v>
      </c>
      <c r="F2389" t="s">
        <v>5175</v>
      </c>
      <c r="G2389" t="str">
        <f>"00356881"</f>
        <v>00356881</v>
      </c>
      <c r="H2389">
        <v>14.4</v>
      </c>
      <c r="I2389">
        <v>0</v>
      </c>
      <c r="M2389">
        <v>0</v>
      </c>
      <c r="N2389">
        <v>0</v>
      </c>
      <c r="O2389">
        <v>0</v>
      </c>
      <c r="P2389">
        <v>14.4</v>
      </c>
      <c r="Q2389">
        <v>15</v>
      </c>
      <c r="R2389">
        <v>15</v>
      </c>
      <c r="S2389">
        <v>0</v>
      </c>
      <c r="T2389">
        <v>0</v>
      </c>
      <c r="U2389" s="1">
        <v>0</v>
      </c>
      <c r="V2389">
        <v>29.4</v>
      </c>
    </row>
    <row r="2390" spans="1:22" ht="15">
      <c r="A2390" s="4">
        <v>2383</v>
      </c>
      <c r="B2390">
        <v>3247</v>
      </c>
      <c r="C2390" t="s">
        <v>5176</v>
      </c>
      <c r="D2390" t="s">
        <v>5177</v>
      </c>
      <c r="E2390" t="s">
        <v>15</v>
      </c>
      <c r="F2390" t="s">
        <v>5178</v>
      </c>
      <c r="G2390" t="str">
        <f>"00441594"</f>
        <v>00441594</v>
      </c>
      <c r="H2390">
        <v>14.4</v>
      </c>
      <c r="I2390">
        <v>0</v>
      </c>
      <c r="M2390">
        <v>0</v>
      </c>
      <c r="N2390">
        <v>0</v>
      </c>
      <c r="O2390">
        <v>0</v>
      </c>
      <c r="P2390">
        <v>14.4</v>
      </c>
      <c r="Q2390">
        <v>15</v>
      </c>
      <c r="R2390">
        <v>15</v>
      </c>
      <c r="S2390">
        <v>0</v>
      </c>
      <c r="T2390">
        <v>0</v>
      </c>
      <c r="U2390" s="1">
        <v>0</v>
      </c>
      <c r="V2390">
        <v>29.4</v>
      </c>
    </row>
    <row r="2391" spans="1:22" ht="15">
      <c r="A2391" s="4">
        <v>2384</v>
      </c>
      <c r="B2391">
        <v>1263</v>
      </c>
      <c r="C2391" t="s">
        <v>5179</v>
      </c>
      <c r="D2391" t="s">
        <v>156</v>
      </c>
      <c r="E2391" t="s">
        <v>15</v>
      </c>
      <c r="F2391" t="s">
        <v>5180</v>
      </c>
      <c r="G2391" t="str">
        <f>"00493031"</f>
        <v>00493031</v>
      </c>
      <c r="H2391">
        <v>22.28</v>
      </c>
      <c r="I2391">
        <v>0</v>
      </c>
      <c r="M2391">
        <v>0</v>
      </c>
      <c r="N2391">
        <v>0</v>
      </c>
      <c r="O2391">
        <v>0</v>
      </c>
      <c r="P2391">
        <v>22.28</v>
      </c>
      <c r="Q2391">
        <v>4</v>
      </c>
      <c r="R2391">
        <v>4</v>
      </c>
      <c r="S2391">
        <v>3</v>
      </c>
      <c r="T2391">
        <v>0</v>
      </c>
      <c r="U2391" s="1">
        <v>0</v>
      </c>
      <c r="V2391">
        <v>29.28</v>
      </c>
    </row>
    <row r="2392" spans="1:22" ht="15">
      <c r="A2392" s="4">
        <v>2385</v>
      </c>
      <c r="B2392">
        <v>835</v>
      </c>
      <c r="C2392" t="s">
        <v>5181</v>
      </c>
      <c r="D2392" t="s">
        <v>14</v>
      </c>
      <c r="E2392" t="s">
        <v>225</v>
      </c>
      <c r="F2392" t="s">
        <v>5182</v>
      </c>
      <c r="G2392" t="str">
        <f>"00515332"</f>
        <v>00515332</v>
      </c>
      <c r="H2392">
        <v>7.2</v>
      </c>
      <c r="I2392">
        <v>10</v>
      </c>
      <c r="M2392">
        <v>0</v>
      </c>
      <c r="N2392">
        <v>0</v>
      </c>
      <c r="O2392">
        <v>0</v>
      </c>
      <c r="P2392">
        <v>17.2</v>
      </c>
      <c r="Q2392">
        <v>0</v>
      </c>
      <c r="R2392">
        <v>0</v>
      </c>
      <c r="S2392">
        <v>12</v>
      </c>
      <c r="T2392">
        <v>0</v>
      </c>
      <c r="U2392" s="1">
        <v>0</v>
      </c>
      <c r="V2392">
        <v>29.2</v>
      </c>
    </row>
    <row r="2393" spans="1:22" ht="15">
      <c r="A2393" s="4">
        <v>2386</v>
      </c>
      <c r="B2393">
        <v>2181</v>
      </c>
      <c r="C2393" t="s">
        <v>5183</v>
      </c>
      <c r="D2393" t="s">
        <v>363</v>
      </c>
      <c r="E2393" t="s">
        <v>90</v>
      </c>
      <c r="F2393" t="s">
        <v>5184</v>
      </c>
      <c r="G2393" t="str">
        <f>"201507004974"</f>
        <v>201507004974</v>
      </c>
      <c r="H2393">
        <v>7.2</v>
      </c>
      <c r="I2393">
        <v>0</v>
      </c>
      <c r="M2393">
        <v>4</v>
      </c>
      <c r="N2393">
        <v>0</v>
      </c>
      <c r="O2393">
        <v>2</v>
      </c>
      <c r="P2393">
        <v>13.2</v>
      </c>
      <c r="Q2393">
        <v>13</v>
      </c>
      <c r="R2393">
        <v>13</v>
      </c>
      <c r="S2393">
        <v>3</v>
      </c>
      <c r="T2393">
        <v>0</v>
      </c>
      <c r="U2393" s="1" t="s">
        <v>6251</v>
      </c>
      <c r="V2393">
        <v>29.2</v>
      </c>
    </row>
    <row r="2394" spans="1:22" ht="15">
      <c r="A2394" s="4">
        <v>2387</v>
      </c>
      <c r="B2394">
        <v>267</v>
      </c>
      <c r="C2394" t="s">
        <v>1051</v>
      </c>
      <c r="D2394" t="s">
        <v>1199</v>
      </c>
      <c r="E2394" t="s">
        <v>732</v>
      </c>
      <c r="F2394" t="s">
        <v>5185</v>
      </c>
      <c r="G2394" t="str">
        <f>"201511024057"</f>
        <v>201511024057</v>
      </c>
      <c r="H2394">
        <v>21.2</v>
      </c>
      <c r="I2394">
        <v>0</v>
      </c>
      <c r="L2394">
        <v>4</v>
      </c>
      <c r="M2394">
        <v>4</v>
      </c>
      <c r="N2394">
        <v>4</v>
      </c>
      <c r="O2394">
        <v>0</v>
      </c>
      <c r="P2394">
        <v>29.2</v>
      </c>
      <c r="Q2394">
        <v>0</v>
      </c>
      <c r="R2394">
        <v>0</v>
      </c>
      <c r="S2394">
        <v>0</v>
      </c>
      <c r="T2394">
        <v>0</v>
      </c>
      <c r="U2394" s="1">
        <v>0</v>
      </c>
      <c r="V2394">
        <v>29.2</v>
      </c>
    </row>
    <row r="2395" spans="1:22" ht="15">
      <c r="A2395" s="4">
        <v>2388</v>
      </c>
      <c r="B2395">
        <v>1765</v>
      </c>
      <c r="C2395" t="s">
        <v>5186</v>
      </c>
      <c r="D2395" t="s">
        <v>102</v>
      </c>
      <c r="E2395" t="s">
        <v>5187</v>
      </c>
      <c r="F2395" t="s">
        <v>5188</v>
      </c>
      <c r="G2395" t="str">
        <f>"00531596"</f>
        <v>00531596</v>
      </c>
      <c r="H2395">
        <v>29.2</v>
      </c>
      <c r="I2395">
        <v>0</v>
      </c>
      <c r="M2395">
        <v>0</v>
      </c>
      <c r="N2395">
        <v>0</v>
      </c>
      <c r="O2395">
        <v>0</v>
      </c>
      <c r="P2395">
        <v>29.2</v>
      </c>
      <c r="Q2395">
        <v>0</v>
      </c>
      <c r="R2395">
        <v>0</v>
      </c>
      <c r="S2395">
        <v>0</v>
      </c>
      <c r="T2395">
        <v>0</v>
      </c>
      <c r="U2395" s="1">
        <v>0</v>
      </c>
      <c r="V2395">
        <v>29.2</v>
      </c>
    </row>
    <row r="2396" spans="1:22" ht="15">
      <c r="A2396" s="4">
        <v>2389</v>
      </c>
      <c r="B2396">
        <v>1998</v>
      </c>
      <c r="C2396" t="s">
        <v>1574</v>
      </c>
      <c r="D2396" t="s">
        <v>5189</v>
      </c>
      <c r="E2396" t="s">
        <v>51</v>
      </c>
      <c r="F2396" t="s">
        <v>5190</v>
      </c>
      <c r="G2396" t="str">
        <f>"00530465"</f>
        <v>00530465</v>
      </c>
      <c r="H2396">
        <v>29.2</v>
      </c>
      <c r="I2396">
        <v>0</v>
      </c>
      <c r="M2396">
        <v>0</v>
      </c>
      <c r="N2396">
        <v>0</v>
      </c>
      <c r="O2396">
        <v>0</v>
      </c>
      <c r="P2396">
        <v>29.2</v>
      </c>
      <c r="Q2396">
        <v>0</v>
      </c>
      <c r="R2396">
        <v>0</v>
      </c>
      <c r="S2396">
        <v>0</v>
      </c>
      <c r="T2396">
        <v>0</v>
      </c>
      <c r="U2396" s="1">
        <v>0</v>
      </c>
      <c r="V2396">
        <v>29.2</v>
      </c>
    </row>
    <row r="2397" spans="1:22" ht="15">
      <c r="A2397" s="4">
        <v>2390</v>
      </c>
      <c r="B2397">
        <v>1044</v>
      </c>
      <c r="C2397" t="s">
        <v>3730</v>
      </c>
      <c r="D2397" t="s">
        <v>211</v>
      </c>
      <c r="E2397" t="s">
        <v>83</v>
      </c>
      <c r="F2397" t="s">
        <v>5191</v>
      </c>
      <c r="G2397" t="str">
        <f>"00093652"</f>
        <v>00093652</v>
      </c>
      <c r="H2397">
        <v>7.2</v>
      </c>
      <c r="I2397">
        <v>10</v>
      </c>
      <c r="M2397">
        <v>4</v>
      </c>
      <c r="N2397">
        <v>0</v>
      </c>
      <c r="O2397">
        <v>0</v>
      </c>
      <c r="P2397">
        <v>21.2</v>
      </c>
      <c r="Q2397">
        <v>5</v>
      </c>
      <c r="R2397">
        <v>5</v>
      </c>
      <c r="S2397">
        <v>3</v>
      </c>
      <c r="T2397">
        <v>0</v>
      </c>
      <c r="U2397" s="1">
        <v>0</v>
      </c>
      <c r="V2397">
        <v>29.2</v>
      </c>
    </row>
    <row r="2398" spans="1:22" ht="15">
      <c r="A2398" s="4">
        <v>2391</v>
      </c>
      <c r="B2398">
        <v>754</v>
      </c>
      <c r="C2398" t="s">
        <v>5192</v>
      </c>
      <c r="D2398" t="s">
        <v>735</v>
      </c>
      <c r="E2398" t="s">
        <v>5193</v>
      </c>
      <c r="F2398" t="s">
        <v>5194</v>
      </c>
      <c r="G2398" t="str">
        <f>"00166059"</f>
        <v>00166059</v>
      </c>
      <c r="H2398">
        <v>22.16</v>
      </c>
      <c r="I2398">
        <v>0</v>
      </c>
      <c r="M2398">
        <v>4</v>
      </c>
      <c r="N2398">
        <v>0</v>
      </c>
      <c r="O2398">
        <v>0</v>
      </c>
      <c r="P2398">
        <v>26.16</v>
      </c>
      <c r="Q2398">
        <v>0</v>
      </c>
      <c r="R2398">
        <v>0</v>
      </c>
      <c r="S2398">
        <v>3</v>
      </c>
      <c r="T2398">
        <v>0</v>
      </c>
      <c r="U2398" s="1">
        <v>0</v>
      </c>
      <c r="V2398">
        <v>29.16</v>
      </c>
    </row>
    <row r="2399" spans="1:22" ht="15">
      <c r="A2399" s="4">
        <v>2392</v>
      </c>
      <c r="B2399">
        <v>1882</v>
      </c>
      <c r="C2399" t="s">
        <v>1574</v>
      </c>
      <c r="D2399" t="s">
        <v>643</v>
      </c>
      <c r="E2399" t="s">
        <v>11</v>
      </c>
      <c r="F2399" t="s">
        <v>5195</v>
      </c>
      <c r="G2399" t="str">
        <f>"00530370"</f>
        <v>00530370</v>
      </c>
      <c r="H2399">
        <v>29.16</v>
      </c>
      <c r="I2399">
        <v>0</v>
      </c>
      <c r="M2399">
        <v>0</v>
      </c>
      <c r="N2399">
        <v>0</v>
      </c>
      <c r="O2399">
        <v>0</v>
      </c>
      <c r="P2399">
        <v>29.16</v>
      </c>
      <c r="Q2399">
        <v>0</v>
      </c>
      <c r="R2399">
        <v>0</v>
      </c>
      <c r="S2399">
        <v>0</v>
      </c>
      <c r="T2399">
        <v>0</v>
      </c>
      <c r="U2399" s="1">
        <v>0</v>
      </c>
      <c r="V2399">
        <v>29.16</v>
      </c>
    </row>
    <row r="2400" spans="1:22" ht="15">
      <c r="A2400" s="4">
        <v>2393</v>
      </c>
      <c r="B2400">
        <v>1172</v>
      </c>
      <c r="C2400" t="s">
        <v>5196</v>
      </c>
      <c r="D2400" t="s">
        <v>121</v>
      </c>
      <c r="E2400" t="s">
        <v>83</v>
      </c>
      <c r="F2400" t="s">
        <v>5197</v>
      </c>
      <c r="G2400" t="str">
        <f>"00530590"</f>
        <v>00530590</v>
      </c>
      <c r="H2400">
        <v>13.08</v>
      </c>
      <c r="I2400">
        <v>0</v>
      </c>
      <c r="M2400">
        <v>4</v>
      </c>
      <c r="N2400">
        <v>0</v>
      </c>
      <c r="O2400">
        <v>0</v>
      </c>
      <c r="P2400">
        <v>17.08</v>
      </c>
      <c r="Q2400">
        <v>6</v>
      </c>
      <c r="R2400">
        <v>6</v>
      </c>
      <c r="S2400">
        <v>6</v>
      </c>
      <c r="T2400">
        <v>0</v>
      </c>
      <c r="U2400" s="1">
        <v>0</v>
      </c>
      <c r="V2400">
        <v>29.08</v>
      </c>
    </row>
    <row r="2401" spans="1:22" ht="15">
      <c r="A2401" s="4">
        <v>2394</v>
      </c>
      <c r="B2401">
        <v>1621</v>
      </c>
      <c r="C2401" t="s">
        <v>5198</v>
      </c>
      <c r="D2401" t="s">
        <v>5199</v>
      </c>
      <c r="E2401" t="s">
        <v>5200</v>
      </c>
      <c r="F2401" t="s">
        <v>5201</v>
      </c>
      <c r="G2401" t="str">
        <f>"00529717"</f>
        <v>00529717</v>
      </c>
      <c r="H2401">
        <v>22</v>
      </c>
      <c r="I2401">
        <v>0</v>
      </c>
      <c r="L2401">
        <v>4</v>
      </c>
      <c r="M2401">
        <v>0</v>
      </c>
      <c r="N2401">
        <v>4</v>
      </c>
      <c r="O2401">
        <v>0</v>
      </c>
      <c r="P2401">
        <v>26</v>
      </c>
      <c r="Q2401">
        <v>0</v>
      </c>
      <c r="R2401">
        <v>0</v>
      </c>
      <c r="S2401">
        <v>3</v>
      </c>
      <c r="T2401">
        <v>0</v>
      </c>
      <c r="U2401" s="1">
        <v>0</v>
      </c>
      <c r="V2401">
        <v>29</v>
      </c>
    </row>
    <row r="2402" spans="1:22" ht="15">
      <c r="A2402" s="4">
        <v>2395</v>
      </c>
      <c r="B2402">
        <v>1636</v>
      </c>
      <c r="C2402" t="s">
        <v>5202</v>
      </c>
      <c r="D2402" t="s">
        <v>582</v>
      </c>
      <c r="E2402" t="s">
        <v>11</v>
      </c>
      <c r="F2402" t="s">
        <v>5203</v>
      </c>
      <c r="G2402" t="str">
        <f>"00069425"</f>
        <v>00069425</v>
      </c>
      <c r="H2402">
        <v>26</v>
      </c>
      <c r="I2402">
        <v>0</v>
      </c>
      <c r="M2402">
        <v>0</v>
      </c>
      <c r="N2402">
        <v>0</v>
      </c>
      <c r="O2402">
        <v>0</v>
      </c>
      <c r="P2402">
        <v>26</v>
      </c>
      <c r="Q2402">
        <v>0</v>
      </c>
      <c r="R2402">
        <v>0</v>
      </c>
      <c r="S2402">
        <v>3</v>
      </c>
      <c r="T2402">
        <v>0</v>
      </c>
      <c r="U2402" s="1">
        <v>0</v>
      </c>
      <c r="V2402">
        <v>29</v>
      </c>
    </row>
    <row r="2403" spans="1:22" ht="15">
      <c r="A2403" s="4">
        <v>2396</v>
      </c>
      <c r="B2403">
        <v>2979</v>
      </c>
      <c r="C2403" t="s">
        <v>5204</v>
      </c>
      <c r="D2403" t="s">
        <v>89</v>
      </c>
      <c r="E2403" t="s">
        <v>19</v>
      </c>
      <c r="F2403" t="s">
        <v>5205</v>
      </c>
      <c r="G2403" t="str">
        <f>"201511026295"</f>
        <v>201511026295</v>
      </c>
      <c r="H2403">
        <v>14.92</v>
      </c>
      <c r="I2403">
        <v>10</v>
      </c>
      <c r="M2403">
        <v>4</v>
      </c>
      <c r="N2403">
        <v>0</v>
      </c>
      <c r="O2403">
        <v>0</v>
      </c>
      <c r="P2403">
        <v>28.92</v>
      </c>
      <c r="Q2403">
        <v>0</v>
      </c>
      <c r="R2403">
        <v>0</v>
      </c>
      <c r="S2403">
        <v>0</v>
      </c>
      <c r="T2403">
        <v>0</v>
      </c>
      <c r="U2403" s="1">
        <v>0</v>
      </c>
      <c r="V2403">
        <v>28.92</v>
      </c>
    </row>
    <row r="2404" spans="1:22" ht="15">
      <c r="A2404" s="4">
        <v>2397</v>
      </c>
      <c r="B2404">
        <v>2836</v>
      </c>
      <c r="C2404" t="s">
        <v>5206</v>
      </c>
      <c r="D2404" t="s">
        <v>363</v>
      </c>
      <c r="E2404" t="s">
        <v>90</v>
      </c>
      <c r="F2404" t="s">
        <v>5207</v>
      </c>
      <c r="G2404" t="str">
        <f>"00057612"</f>
        <v>00057612</v>
      </c>
      <c r="H2404">
        <v>24.88</v>
      </c>
      <c r="I2404">
        <v>0</v>
      </c>
      <c r="M2404">
        <v>4</v>
      </c>
      <c r="N2404">
        <v>0</v>
      </c>
      <c r="O2404">
        <v>0</v>
      </c>
      <c r="P2404">
        <v>28.88</v>
      </c>
      <c r="Q2404">
        <v>0</v>
      </c>
      <c r="R2404">
        <v>0</v>
      </c>
      <c r="S2404">
        <v>0</v>
      </c>
      <c r="T2404">
        <v>0</v>
      </c>
      <c r="U2404" s="1">
        <v>0</v>
      </c>
      <c r="V2404">
        <v>28.88</v>
      </c>
    </row>
    <row r="2405" spans="1:22" ht="15">
      <c r="A2405" s="4">
        <v>2398</v>
      </c>
      <c r="B2405">
        <v>937</v>
      </c>
      <c r="C2405" t="s">
        <v>3548</v>
      </c>
      <c r="D2405" t="s">
        <v>76</v>
      </c>
      <c r="E2405" t="s">
        <v>23</v>
      </c>
      <c r="F2405" t="s">
        <v>5208</v>
      </c>
      <c r="G2405" t="str">
        <f>"00442267"</f>
        <v>00442267</v>
      </c>
      <c r="H2405">
        <v>18.84</v>
      </c>
      <c r="I2405">
        <v>10</v>
      </c>
      <c r="M2405">
        <v>0</v>
      </c>
      <c r="N2405">
        <v>0</v>
      </c>
      <c r="O2405">
        <v>0</v>
      </c>
      <c r="P2405">
        <v>28.84</v>
      </c>
      <c r="Q2405">
        <v>0</v>
      </c>
      <c r="R2405">
        <v>0</v>
      </c>
      <c r="S2405">
        <v>0</v>
      </c>
      <c r="T2405">
        <v>0</v>
      </c>
      <c r="U2405" s="1">
        <v>0</v>
      </c>
      <c r="V2405">
        <v>28.84</v>
      </c>
    </row>
    <row r="2406" spans="1:22" ht="15">
      <c r="A2406" s="4">
        <v>2399</v>
      </c>
      <c r="B2406">
        <v>3204</v>
      </c>
      <c r="C2406" t="s">
        <v>1538</v>
      </c>
      <c r="D2406" t="s">
        <v>121</v>
      </c>
      <c r="E2406" t="s">
        <v>59</v>
      </c>
      <c r="F2406" t="s">
        <v>5209</v>
      </c>
      <c r="G2406" t="str">
        <f>"00533753"</f>
        <v>00533753</v>
      </c>
      <c r="H2406">
        <v>28.8</v>
      </c>
      <c r="I2406">
        <v>0</v>
      </c>
      <c r="M2406">
        <v>0</v>
      </c>
      <c r="N2406">
        <v>0</v>
      </c>
      <c r="O2406">
        <v>0</v>
      </c>
      <c r="P2406">
        <v>28.8</v>
      </c>
      <c r="Q2406">
        <v>0</v>
      </c>
      <c r="R2406">
        <v>0</v>
      </c>
      <c r="S2406">
        <v>0</v>
      </c>
      <c r="T2406">
        <v>0</v>
      </c>
      <c r="U2406" s="1">
        <v>0</v>
      </c>
      <c r="V2406">
        <v>28.8</v>
      </c>
    </row>
    <row r="2407" spans="1:22" ht="15">
      <c r="A2407" s="4">
        <v>2400</v>
      </c>
      <c r="B2407">
        <v>3012</v>
      </c>
      <c r="C2407" t="s">
        <v>5210</v>
      </c>
      <c r="D2407" t="s">
        <v>378</v>
      </c>
      <c r="E2407" t="s">
        <v>514</v>
      </c>
      <c r="F2407" t="s">
        <v>5211</v>
      </c>
      <c r="G2407" t="str">
        <f>"00511363"</f>
        <v>00511363</v>
      </c>
      <c r="H2407">
        <v>14.8</v>
      </c>
      <c r="I2407">
        <v>10</v>
      </c>
      <c r="M2407">
        <v>4</v>
      </c>
      <c r="N2407">
        <v>0</v>
      </c>
      <c r="O2407">
        <v>0</v>
      </c>
      <c r="P2407">
        <v>28.8</v>
      </c>
      <c r="Q2407">
        <v>0</v>
      </c>
      <c r="R2407">
        <v>0</v>
      </c>
      <c r="S2407">
        <v>0</v>
      </c>
      <c r="T2407">
        <v>0</v>
      </c>
      <c r="U2407" s="1">
        <v>0</v>
      </c>
      <c r="V2407">
        <v>28.8</v>
      </c>
    </row>
    <row r="2408" spans="1:22" ht="15">
      <c r="A2408" s="4">
        <v>2401</v>
      </c>
      <c r="B2408">
        <v>2924</v>
      </c>
      <c r="C2408" t="s">
        <v>5212</v>
      </c>
      <c r="D2408" t="s">
        <v>5213</v>
      </c>
      <c r="E2408" t="s">
        <v>15</v>
      </c>
      <c r="F2408" t="s">
        <v>5214</v>
      </c>
      <c r="G2408" t="str">
        <f>"00533211"</f>
        <v>00533211</v>
      </c>
      <c r="H2408">
        <v>28.8</v>
      </c>
      <c r="I2408">
        <v>0</v>
      </c>
      <c r="M2408">
        <v>0</v>
      </c>
      <c r="N2408">
        <v>0</v>
      </c>
      <c r="O2408">
        <v>0</v>
      </c>
      <c r="P2408">
        <v>28.8</v>
      </c>
      <c r="Q2408">
        <v>0</v>
      </c>
      <c r="R2408">
        <v>0</v>
      </c>
      <c r="S2408">
        <v>0</v>
      </c>
      <c r="T2408">
        <v>0</v>
      </c>
      <c r="U2408" s="1">
        <v>0</v>
      </c>
      <c r="V2408">
        <v>28.8</v>
      </c>
    </row>
    <row r="2409" spans="1:22" ht="15">
      <c r="A2409" s="4">
        <v>2402</v>
      </c>
      <c r="B2409">
        <v>1609</v>
      </c>
      <c r="C2409" t="s">
        <v>5215</v>
      </c>
      <c r="D2409" t="s">
        <v>971</v>
      </c>
      <c r="E2409" t="s">
        <v>11</v>
      </c>
      <c r="F2409" t="s">
        <v>5216</v>
      </c>
      <c r="G2409" t="str">
        <f>"00530224"</f>
        <v>00530224</v>
      </c>
      <c r="H2409">
        <v>28.8</v>
      </c>
      <c r="I2409">
        <v>0</v>
      </c>
      <c r="M2409">
        <v>0</v>
      </c>
      <c r="N2409">
        <v>0</v>
      </c>
      <c r="O2409">
        <v>0</v>
      </c>
      <c r="P2409">
        <v>28.8</v>
      </c>
      <c r="Q2409">
        <v>0</v>
      </c>
      <c r="R2409">
        <v>0</v>
      </c>
      <c r="S2409">
        <v>0</v>
      </c>
      <c r="T2409">
        <v>0</v>
      </c>
      <c r="U2409" s="1">
        <v>0</v>
      </c>
      <c r="V2409">
        <v>28.8</v>
      </c>
    </row>
    <row r="2410" spans="1:22" ht="15">
      <c r="A2410" s="4">
        <v>2403</v>
      </c>
      <c r="B2410">
        <v>1343</v>
      </c>
      <c r="C2410" t="s">
        <v>5217</v>
      </c>
      <c r="D2410" t="s">
        <v>511</v>
      </c>
      <c r="E2410" t="s">
        <v>23</v>
      </c>
      <c r="F2410" t="s">
        <v>5218</v>
      </c>
      <c r="G2410" t="str">
        <f>"201410000288"</f>
        <v>201410000288</v>
      </c>
      <c r="H2410">
        <v>28.8</v>
      </c>
      <c r="I2410">
        <v>0</v>
      </c>
      <c r="M2410">
        <v>0</v>
      </c>
      <c r="N2410">
        <v>0</v>
      </c>
      <c r="O2410">
        <v>0</v>
      </c>
      <c r="P2410">
        <v>28.8</v>
      </c>
      <c r="Q2410">
        <v>0</v>
      </c>
      <c r="R2410">
        <v>0</v>
      </c>
      <c r="S2410">
        <v>0</v>
      </c>
      <c r="T2410">
        <v>0</v>
      </c>
      <c r="U2410" s="1">
        <v>0</v>
      </c>
      <c r="V2410">
        <v>28.8</v>
      </c>
    </row>
    <row r="2411" spans="1:22" ht="15">
      <c r="A2411" s="4">
        <v>2404</v>
      </c>
      <c r="B2411">
        <v>2897</v>
      </c>
      <c r="C2411" t="s">
        <v>5219</v>
      </c>
      <c r="D2411" t="s">
        <v>156</v>
      </c>
      <c r="E2411" t="s">
        <v>364</v>
      </c>
      <c r="F2411" t="s">
        <v>5220</v>
      </c>
      <c r="G2411" t="str">
        <f>"00265713"</f>
        <v>00265713</v>
      </c>
      <c r="H2411">
        <v>28.8</v>
      </c>
      <c r="I2411">
        <v>0</v>
      </c>
      <c r="M2411">
        <v>0</v>
      </c>
      <c r="N2411">
        <v>0</v>
      </c>
      <c r="O2411">
        <v>0</v>
      </c>
      <c r="P2411">
        <v>28.8</v>
      </c>
      <c r="Q2411">
        <v>0</v>
      </c>
      <c r="R2411">
        <v>0</v>
      </c>
      <c r="S2411">
        <v>0</v>
      </c>
      <c r="T2411">
        <v>0</v>
      </c>
      <c r="U2411" s="1">
        <v>0</v>
      </c>
      <c r="V2411">
        <v>28.8</v>
      </c>
    </row>
    <row r="2412" spans="1:22" ht="15">
      <c r="A2412" s="4">
        <v>2405</v>
      </c>
      <c r="B2412">
        <v>921</v>
      </c>
      <c r="C2412" t="s">
        <v>5221</v>
      </c>
      <c r="D2412" t="s">
        <v>76</v>
      </c>
      <c r="E2412" t="s">
        <v>4161</v>
      </c>
      <c r="F2412" t="s">
        <v>5222</v>
      </c>
      <c r="G2412" t="str">
        <f>"00523167"</f>
        <v>00523167</v>
      </c>
      <c r="H2412">
        <v>28.8</v>
      </c>
      <c r="I2412">
        <v>0</v>
      </c>
      <c r="M2412">
        <v>0</v>
      </c>
      <c r="N2412">
        <v>0</v>
      </c>
      <c r="O2412">
        <v>0</v>
      </c>
      <c r="P2412">
        <v>28.8</v>
      </c>
      <c r="Q2412">
        <v>0</v>
      </c>
      <c r="R2412">
        <v>0</v>
      </c>
      <c r="S2412">
        <v>0</v>
      </c>
      <c r="T2412">
        <v>0</v>
      </c>
      <c r="U2412" s="1">
        <v>0</v>
      </c>
      <c r="V2412">
        <v>28.8</v>
      </c>
    </row>
    <row r="2413" spans="1:22" ht="15">
      <c r="A2413" s="4">
        <v>2406</v>
      </c>
      <c r="B2413">
        <v>1510</v>
      </c>
      <c r="C2413" t="s">
        <v>5223</v>
      </c>
      <c r="D2413" t="s">
        <v>179</v>
      </c>
      <c r="E2413" t="s">
        <v>30</v>
      </c>
      <c r="F2413" t="s">
        <v>5224</v>
      </c>
      <c r="G2413" t="str">
        <f>"201511007254"</f>
        <v>201511007254</v>
      </c>
      <c r="H2413">
        <v>28.8</v>
      </c>
      <c r="I2413">
        <v>0</v>
      </c>
      <c r="M2413">
        <v>0</v>
      </c>
      <c r="N2413">
        <v>0</v>
      </c>
      <c r="O2413">
        <v>0</v>
      </c>
      <c r="P2413">
        <v>28.8</v>
      </c>
      <c r="Q2413">
        <v>0</v>
      </c>
      <c r="R2413">
        <v>0</v>
      </c>
      <c r="S2413">
        <v>0</v>
      </c>
      <c r="T2413">
        <v>0</v>
      </c>
      <c r="U2413" s="1">
        <v>0</v>
      </c>
      <c r="V2413">
        <v>28.8</v>
      </c>
    </row>
    <row r="2414" spans="1:22" ht="15">
      <c r="A2414" s="4">
        <v>2407</v>
      </c>
      <c r="B2414">
        <v>2187</v>
      </c>
      <c r="C2414" t="s">
        <v>2984</v>
      </c>
      <c r="D2414" t="s">
        <v>545</v>
      </c>
      <c r="E2414" t="s">
        <v>15</v>
      </c>
      <c r="F2414" t="s">
        <v>5225</v>
      </c>
      <c r="G2414" t="str">
        <f>"00395444"</f>
        <v>00395444</v>
      </c>
      <c r="H2414">
        <v>28.8</v>
      </c>
      <c r="I2414">
        <v>0</v>
      </c>
      <c r="M2414">
        <v>0</v>
      </c>
      <c r="N2414">
        <v>0</v>
      </c>
      <c r="O2414">
        <v>0</v>
      </c>
      <c r="P2414">
        <v>28.8</v>
      </c>
      <c r="Q2414">
        <v>0</v>
      </c>
      <c r="R2414">
        <v>0</v>
      </c>
      <c r="S2414">
        <v>0</v>
      </c>
      <c r="T2414">
        <v>0</v>
      </c>
      <c r="U2414" s="1">
        <v>0</v>
      </c>
      <c r="V2414">
        <v>28.8</v>
      </c>
    </row>
    <row r="2415" spans="1:22" ht="15">
      <c r="A2415" s="4">
        <v>2408</v>
      </c>
      <c r="B2415">
        <v>1275</v>
      </c>
      <c r="C2415" t="s">
        <v>5226</v>
      </c>
      <c r="D2415" t="s">
        <v>958</v>
      </c>
      <c r="E2415" t="s">
        <v>3358</v>
      </c>
      <c r="F2415" t="s">
        <v>5227</v>
      </c>
      <c r="G2415" t="str">
        <f>"00476290"</f>
        <v>00476290</v>
      </c>
      <c r="H2415">
        <v>28.8</v>
      </c>
      <c r="I2415">
        <v>0</v>
      </c>
      <c r="M2415">
        <v>0</v>
      </c>
      <c r="N2415">
        <v>0</v>
      </c>
      <c r="O2415">
        <v>0</v>
      </c>
      <c r="P2415">
        <v>28.8</v>
      </c>
      <c r="Q2415">
        <v>0</v>
      </c>
      <c r="R2415">
        <v>0</v>
      </c>
      <c r="S2415">
        <v>0</v>
      </c>
      <c r="T2415">
        <v>0</v>
      </c>
      <c r="U2415" s="1">
        <v>0</v>
      </c>
      <c r="V2415">
        <v>28.8</v>
      </c>
    </row>
    <row r="2416" spans="1:22" ht="15">
      <c r="A2416" s="4">
        <v>2409</v>
      </c>
      <c r="B2416">
        <v>2494</v>
      </c>
      <c r="C2416" t="s">
        <v>2975</v>
      </c>
      <c r="D2416" t="s">
        <v>3041</v>
      </c>
      <c r="E2416" t="s">
        <v>157</v>
      </c>
      <c r="F2416" t="s">
        <v>5228</v>
      </c>
      <c r="G2416" t="str">
        <f>"00521762"</f>
        <v>00521762</v>
      </c>
      <c r="H2416">
        <v>28.8</v>
      </c>
      <c r="I2416">
        <v>0</v>
      </c>
      <c r="M2416">
        <v>0</v>
      </c>
      <c r="N2416">
        <v>0</v>
      </c>
      <c r="O2416">
        <v>0</v>
      </c>
      <c r="P2416">
        <v>28.8</v>
      </c>
      <c r="Q2416">
        <v>0</v>
      </c>
      <c r="R2416">
        <v>0</v>
      </c>
      <c r="S2416">
        <v>0</v>
      </c>
      <c r="T2416">
        <v>0</v>
      </c>
      <c r="U2416" s="1">
        <v>0</v>
      </c>
      <c r="V2416">
        <v>28.8</v>
      </c>
    </row>
    <row r="2417" spans="1:22" ht="15">
      <c r="A2417" s="4">
        <v>2410</v>
      </c>
      <c r="B2417">
        <v>786</v>
      </c>
      <c r="C2417" t="s">
        <v>832</v>
      </c>
      <c r="D2417" t="s">
        <v>2831</v>
      </c>
      <c r="E2417" t="s">
        <v>15</v>
      </c>
      <c r="F2417" t="s">
        <v>5229</v>
      </c>
      <c r="G2417" t="str">
        <f>"00484646"</f>
        <v>00484646</v>
      </c>
      <c r="H2417">
        <v>16.8</v>
      </c>
      <c r="I2417">
        <v>0</v>
      </c>
      <c r="M2417">
        <v>0</v>
      </c>
      <c r="N2417">
        <v>0</v>
      </c>
      <c r="O2417">
        <v>0</v>
      </c>
      <c r="P2417">
        <v>16.8</v>
      </c>
      <c r="Q2417">
        <v>12</v>
      </c>
      <c r="R2417">
        <v>12</v>
      </c>
      <c r="S2417">
        <v>0</v>
      </c>
      <c r="T2417">
        <v>0</v>
      </c>
      <c r="U2417" s="1">
        <v>0</v>
      </c>
      <c r="V2417">
        <v>28.8</v>
      </c>
    </row>
    <row r="2418" spans="1:22" ht="15">
      <c r="A2418" s="4">
        <v>2411</v>
      </c>
      <c r="B2418">
        <v>1091</v>
      </c>
      <c r="C2418" t="s">
        <v>5230</v>
      </c>
      <c r="D2418" t="s">
        <v>5231</v>
      </c>
      <c r="E2418" t="s">
        <v>447</v>
      </c>
      <c r="F2418" t="s">
        <v>5232</v>
      </c>
      <c r="G2418" t="str">
        <f>"00502198"</f>
        <v>00502198</v>
      </c>
      <c r="H2418">
        <v>28.8</v>
      </c>
      <c r="I2418">
        <v>0</v>
      </c>
      <c r="M2418">
        <v>0</v>
      </c>
      <c r="N2418">
        <v>0</v>
      </c>
      <c r="O2418">
        <v>0</v>
      </c>
      <c r="P2418">
        <v>28.8</v>
      </c>
      <c r="Q2418">
        <v>0</v>
      </c>
      <c r="R2418">
        <v>0</v>
      </c>
      <c r="S2418">
        <v>0</v>
      </c>
      <c r="T2418">
        <v>0</v>
      </c>
      <c r="U2418" s="1">
        <v>0</v>
      </c>
      <c r="V2418">
        <v>28.8</v>
      </c>
    </row>
    <row r="2419" spans="1:22" ht="15">
      <c r="A2419" s="4">
        <v>2412</v>
      </c>
      <c r="B2419">
        <v>2358</v>
      </c>
      <c r="C2419" t="s">
        <v>5233</v>
      </c>
      <c r="D2419" t="s">
        <v>14</v>
      </c>
      <c r="E2419" t="s">
        <v>134</v>
      </c>
      <c r="F2419" t="s">
        <v>5234</v>
      </c>
      <c r="G2419" t="str">
        <f>"00534004"</f>
        <v>00534004</v>
      </c>
      <c r="H2419">
        <v>28.8</v>
      </c>
      <c r="I2419">
        <v>0</v>
      </c>
      <c r="M2419">
        <v>0</v>
      </c>
      <c r="N2419">
        <v>0</v>
      </c>
      <c r="O2419">
        <v>0</v>
      </c>
      <c r="P2419">
        <v>28.8</v>
      </c>
      <c r="Q2419">
        <v>0</v>
      </c>
      <c r="R2419">
        <v>0</v>
      </c>
      <c r="S2419">
        <v>0</v>
      </c>
      <c r="T2419">
        <v>0</v>
      </c>
      <c r="U2419" s="1">
        <v>0</v>
      </c>
      <c r="V2419">
        <v>28.8</v>
      </c>
    </row>
    <row r="2420" spans="1:22" ht="15">
      <c r="A2420" s="4">
        <v>2413</v>
      </c>
      <c r="B2420">
        <v>1449</v>
      </c>
      <c r="C2420" t="s">
        <v>5235</v>
      </c>
      <c r="D2420" t="s">
        <v>58</v>
      </c>
      <c r="E2420" t="s">
        <v>5236</v>
      </c>
      <c r="F2420" t="s">
        <v>5237</v>
      </c>
      <c r="G2420" t="str">
        <f>"00004270"</f>
        <v>00004270</v>
      </c>
      <c r="H2420">
        <v>20.72</v>
      </c>
      <c r="I2420">
        <v>0</v>
      </c>
      <c r="M2420">
        <v>4</v>
      </c>
      <c r="N2420">
        <v>0</v>
      </c>
      <c r="O2420">
        <v>0</v>
      </c>
      <c r="P2420">
        <v>24.72</v>
      </c>
      <c r="Q2420">
        <v>4</v>
      </c>
      <c r="R2420">
        <v>4</v>
      </c>
      <c r="S2420">
        <v>0</v>
      </c>
      <c r="T2420">
        <v>0</v>
      </c>
      <c r="U2420" s="1">
        <v>0</v>
      </c>
      <c r="V2420">
        <v>28.72</v>
      </c>
    </row>
    <row r="2421" spans="1:22" ht="15">
      <c r="A2421" s="4">
        <v>2414</v>
      </c>
      <c r="B2421">
        <v>1883</v>
      </c>
      <c r="C2421" t="s">
        <v>5238</v>
      </c>
      <c r="D2421" t="s">
        <v>156</v>
      </c>
      <c r="E2421" t="s">
        <v>47</v>
      </c>
      <c r="F2421" t="s">
        <v>5239</v>
      </c>
      <c r="G2421" t="str">
        <f>"00484259"</f>
        <v>00484259</v>
      </c>
      <c r="H2421">
        <v>22.68</v>
      </c>
      <c r="I2421">
        <v>0</v>
      </c>
      <c r="L2421">
        <v>4</v>
      </c>
      <c r="M2421">
        <v>0</v>
      </c>
      <c r="N2421">
        <v>4</v>
      </c>
      <c r="O2421">
        <v>0</v>
      </c>
      <c r="P2421">
        <v>26.68</v>
      </c>
      <c r="Q2421">
        <v>2</v>
      </c>
      <c r="R2421">
        <v>2</v>
      </c>
      <c r="S2421">
        <v>0</v>
      </c>
      <c r="T2421">
        <v>0</v>
      </c>
      <c r="U2421" s="1">
        <v>0</v>
      </c>
      <c r="V2421">
        <v>28.68</v>
      </c>
    </row>
    <row r="2422" spans="1:22" ht="15">
      <c r="A2422" s="4">
        <v>2415</v>
      </c>
      <c r="B2422">
        <v>1157</v>
      </c>
      <c r="C2422" t="s">
        <v>5240</v>
      </c>
      <c r="D2422" t="s">
        <v>5241</v>
      </c>
      <c r="E2422" t="s">
        <v>738</v>
      </c>
      <c r="F2422" t="s">
        <v>5242</v>
      </c>
      <c r="G2422" t="str">
        <f>"201511025540"</f>
        <v>201511025540</v>
      </c>
      <c r="H2422">
        <v>21.6</v>
      </c>
      <c r="I2422">
        <v>0</v>
      </c>
      <c r="M2422">
        <v>4</v>
      </c>
      <c r="N2422">
        <v>0</v>
      </c>
      <c r="O2422">
        <v>0</v>
      </c>
      <c r="P2422">
        <v>25.6</v>
      </c>
      <c r="Q2422">
        <v>0</v>
      </c>
      <c r="R2422">
        <v>0</v>
      </c>
      <c r="S2422">
        <v>3</v>
      </c>
      <c r="T2422">
        <v>0</v>
      </c>
      <c r="U2422" s="1">
        <v>0</v>
      </c>
      <c r="V2422">
        <v>28.6</v>
      </c>
    </row>
    <row r="2423" spans="1:22" ht="15">
      <c r="A2423" s="4">
        <v>2416</v>
      </c>
      <c r="B2423">
        <v>1295</v>
      </c>
      <c r="C2423" t="s">
        <v>4665</v>
      </c>
      <c r="D2423" t="s">
        <v>22</v>
      </c>
      <c r="E2423" t="s">
        <v>19</v>
      </c>
      <c r="F2423" t="s">
        <v>5243</v>
      </c>
      <c r="G2423" t="str">
        <f>"00484861"</f>
        <v>00484861</v>
      </c>
      <c r="H2423">
        <v>21.6</v>
      </c>
      <c r="I2423">
        <v>0</v>
      </c>
      <c r="L2423">
        <v>4</v>
      </c>
      <c r="M2423">
        <v>0</v>
      </c>
      <c r="N2423">
        <v>4</v>
      </c>
      <c r="O2423">
        <v>0</v>
      </c>
      <c r="P2423">
        <v>25.6</v>
      </c>
      <c r="Q2423">
        <v>0</v>
      </c>
      <c r="R2423">
        <v>0</v>
      </c>
      <c r="S2423">
        <v>3</v>
      </c>
      <c r="T2423">
        <v>0</v>
      </c>
      <c r="U2423" s="1">
        <v>0</v>
      </c>
      <c r="V2423">
        <v>28.6</v>
      </c>
    </row>
    <row r="2424" spans="1:22" ht="15">
      <c r="A2424" s="4">
        <v>2417</v>
      </c>
      <c r="B2424">
        <v>1194</v>
      </c>
      <c r="C2424" t="s">
        <v>5244</v>
      </c>
      <c r="D2424" t="s">
        <v>14</v>
      </c>
      <c r="E2424" t="s">
        <v>327</v>
      </c>
      <c r="F2424" t="s">
        <v>5245</v>
      </c>
      <c r="G2424" t="str">
        <f>"00500078"</f>
        <v>00500078</v>
      </c>
      <c r="H2424">
        <v>21.6</v>
      </c>
      <c r="I2424">
        <v>0</v>
      </c>
      <c r="M2424">
        <v>4</v>
      </c>
      <c r="N2424">
        <v>0</v>
      </c>
      <c r="O2424">
        <v>0</v>
      </c>
      <c r="P2424">
        <v>25.6</v>
      </c>
      <c r="Q2424">
        <v>0</v>
      </c>
      <c r="R2424">
        <v>0</v>
      </c>
      <c r="S2424">
        <v>3</v>
      </c>
      <c r="T2424">
        <v>0</v>
      </c>
      <c r="U2424" s="1">
        <v>0</v>
      </c>
      <c r="V2424">
        <v>28.6</v>
      </c>
    </row>
    <row r="2425" spans="1:22" ht="15">
      <c r="A2425" s="4">
        <v>2418</v>
      </c>
      <c r="B2425">
        <v>3355</v>
      </c>
      <c r="C2425" t="s">
        <v>5246</v>
      </c>
      <c r="D2425" t="s">
        <v>26</v>
      </c>
      <c r="E2425" t="s">
        <v>999</v>
      </c>
      <c r="F2425" t="s">
        <v>5247</v>
      </c>
      <c r="G2425" t="str">
        <f>"00532904"</f>
        <v>00532904</v>
      </c>
      <c r="H2425">
        <v>21.6</v>
      </c>
      <c r="I2425">
        <v>0</v>
      </c>
      <c r="M2425">
        <v>4</v>
      </c>
      <c r="N2425">
        <v>0</v>
      </c>
      <c r="O2425">
        <v>0</v>
      </c>
      <c r="P2425">
        <v>25.6</v>
      </c>
      <c r="Q2425">
        <v>0</v>
      </c>
      <c r="R2425">
        <v>0</v>
      </c>
      <c r="S2425">
        <v>3</v>
      </c>
      <c r="T2425">
        <v>0</v>
      </c>
      <c r="U2425" s="1">
        <v>0</v>
      </c>
      <c r="V2425">
        <v>28.6</v>
      </c>
    </row>
    <row r="2426" spans="1:22" ht="15">
      <c r="A2426" s="4">
        <v>2419</v>
      </c>
      <c r="B2426">
        <v>2942</v>
      </c>
      <c r="C2426" t="s">
        <v>5248</v>
      </c>
      <c r="D2426" t="s">
        <v>14</v>
      </c>
      <c r="E2426" t="s">
        <v>90</v>
      </c>
      <c r="F2426" t="s">
        <v>5249</v>
      </c>
      <c r="G2426" t="str">
        <f>"00531723"</f>
        <v>00531723</v>
      </c>
      <c r="H2426">
        <v>21.6</v>
      </c>
      <c r="I2426">
        <v>0</v>
      </c>
      <c r="L2426">
        <v>4</v>
      </c>
      <c r="M2426">
        <v>0</v>
      </c>
      <c r="N2426">
        <v>4</v>
      </c>
      <c r="O2426">
        <v>0</v>
      </c>
      <c r="P2426">
        <v>25.6</v>
      </c>
      <c r="Q2426">
        <v>0</v>
      </c>
      <c r="R2426">
        <v>0</v>
      </c>
      <c r="S2426">
        <v>3</v>
      </c>
      <c r="T2426">
        <v>0</v>
      </c>
      <c r="U2426" s="1">
        <v>0</v>
      </c>
      <c r="V2426">
        <v>28.6</v>
      </c>
    </row>
    <row r="2427" spans="1:22" ht="15">
      <c r="A2427" s="4">
        <v>2420</v>
      </c>
      <c r="B2427">
        <v>1847</v>
      </c>
      <c r="C2427" t="s">
        <v>881</v>
      </c>
      <c r="D2427" t="s">
        <v>89</v>
      </c>
      <c r="E2427" t="s">
        <v>5250</v>
      </c>
      <c r="F2427" t="s">
        <v>5251</v>
      </c>
      <c r="G2427" t="str">
        <f>"00529676"</f>
        <v>00529676</v>
      </c>
      <c r="H2427">
        <v>21.6</v>
      </c>
      <c r="I2427">
        <v>0</v>
      </c>
      <c r="L2427">
        <v>4</v>
      </c>
      <c r="M2427">
        <v>0</v>
      </c>
      <c r="N2427">
        <v>4</v>
      </c>
      <c r="O2427">
        <v>0</v>
      </c>
      <c r="P2427">
        <v>25.6</v>
      </c>
      <c r="Q2427">
        <v>0</v>
      </c>
      <c r="R2427">
        <v>0</v>
      </c>
      <c r="S2427">
        <v>3</v>
      </c>
      <c r="T2427">
        <v>0</v>
      </c>
      <c r="U2427" s="1">
        <v>0</v>
      </c>
      <c r="V2427">
        <v>28.6</v>
      </c>
    </row>
    <row r="2428" spans="1:22" ht="15">
      <c r="A2428" s="4">
        <v>2421</v>
      </c>
      <c r="B2428">
        <v>2044</v>
      </c>
      <c r="C2428" t="s">
        <v>5252</v>
      </c>
      <c r="D2428" t="s">
        <v>50</v>
      </c>
      <c r="E2428" t="s">
        <v>47</v>
      </c>
      <c r="F2428" t="s">
        <v>5253</v>
      </c>
      <c r="G2428" t="str">
        <f>"00530575"</f>
        <v>00530575</v>
      </c>
      <c r="H2428">
        <v>20.44</v>
      </c>
      <c r="I2428">
        <v>0</v>
      </c>
      <c r="L2428">
        <v>4</v>
      </c>
      <c r="M2428">
        <v>4</v>
      </c>
      <c r="N2428">
        <v>4</v>
      </c>
      <c r="O2428">
        <v>0</v>
      </c>
      <c r="P2428">
        <v>28.44</v>
      </c>
      <c r="Q2428">
        <v>0</v>
      </c>
      <c r="R2428">
        <v>0</v>
      </c>
      <c r="S2428">
        <v>0</v>
      </c>
      <c r="T2428">
        <v>0</v>
      </c>
      <c r="U2428" s="1">
        <v>0</v>
      </c>
      <c r="V2428">
        <v>28.44</v>
      </c>
    </row>
    <row r="2429" spans="1:22" ht="15">
      <c r="A2429" s="4">
        <v>2422</v>
      </c>
      <c r="B2429">
        <v>630</v>
      </c>
      <c r="C2429" t="s">
        <v>5254</v>
      </c>
      <c r="D2429" t="s">
        <v>1425</v>
      </c>
      <c r="E2429" t="s">
        <v>99</v>
      </c>
      <c r="F2429" t="s">
        <v>5255</v>
      </c>
      <c r="G2429" t="str">
        <f>"00356833"</f>
        <v>00356833</v>
      </c>
      <c r="H2429">
        <v>14.4</v>
      </c>
      <c r="I2429">
        <v>10</v>
      </c>
      <c r="M2429">
        <v>4</v>
      </c>
      <c r="N2429">
        <v>0</v>
      </c>
      <c r="O2429">
        <v>0</v>
      </c>
      <c r="P2429">
        <v>28.4</v>
      </c>
      <c r="Q2429">
        <v>0</v>
      </c>
      <c r="R2429">
        <v>0</v>
      </c>
      <c r="S2429">
        <v>0</v>
      </c>
      <c r="T2429">
        <v>0</v>
      </c>
      <c r="U2429" s="1">
        <v>0</v>
      </c>
      <c r="V2429">
        <v>28.4</v>
      </c>
    </row>
    <row r="2430" spans="1:22" ht="15">
      <c r="A2430" s="4">
        <v>2423</v>
      </c>
      <c r="B2430">
        <v>1080</v>
      </c>
      <c r="C2430" t="s">
        <v>5256</v>
      </c>
      <c r="D2430" t="s">
        <v>14</v>
      </c>
      <c r="E2430" t="s">
        <v>112</v>
      </c>
      <c r="F2430" t="s">
        <v>5257</v>
      </c>
      <c r="G2430" t="str">
        <f>"00150530"</f>
        <v>00150530</v>
      </c>
      <c r="H2430">
        <v>14.4</v>
      </c>
      <c r="I2430">
        <v>10</v>
      </c>
      <c r="M2430">
        <v>4</v>
      </c>
      <c r="N2430">
        <v>0</v>
      </c>
      <c r="O2430">
        <v>0</v>
      </c>
      <c r="P2430">
        <v>28.4</v>
      </c>
      <c r="Q2430">
        <v>0</v>
      </c>
      <c r="R2430">
        <v>0</v>
      </c>
      <c r="S2430">
        <v>0</v>
      </c>
      <c r="T2430">
        <v>0</v>
      </c>
      <c r="U2430" s="1">
        <v>0</v>
      </c>
      <c r="V2430">
        <v>28.4</v>
      </c>
    </row>
    <row r="2431" spans="1:22" ht="15">
      <c r="A2431" s="4">
        <v>2424</v>
      </c>
      <c r="B2431">
        <v>1577</v>
      </c>
      <c r="C2431" t="s">
        <v>5258</v>
      </c>
      <c r="D2431" t="s">
        <v>89</v>
      </c>
      <c r="E2431" t="s">
        <v>11</v>
      </c>
      <c r="F2431" t="s">
        <v>5259</v>
      </c>
      <c r="G2431" t="str">
        <f>"00291926"</f>
        <v>00291926</v>
      </c>
      <c r="H2431">
        <v>14.4</v>
      </c>
      <c r="I2431">
        <v>0</v>
      </c>
      <c r="L2431">
        <v>4</v>
      </c>
      <c r="M2431">
        <v>4</v>
      </c>
      <c r="N2431">
        <v>4</v>
      </c>
      <c r="O2431">
        <v>0</v>
      </c>
      <c r="P2431">
        <v>22.4</v>
      </c>
      <c r="Q2431">
        <v>0</v>
      </c>
      <c r="R2431">
        <v>0</v>
      </c>
      <c r="S2431">
        <v>6</v>
      </c>
      <c r="T2431">
        <v>0</v>
      </c>
      <c r="U2431" s="1">
        <v>0</v>
      </c>
      <c r="V2431">
        <v>28.4</v>
      </c>
    </row>
    <row r="2432" spans="1:22" ht="15">
      <c r="A2432" s="4">
        <v>2425</v>
      </c>
      <c r="B2432">
        <v>3325</v>
      </c>
      <c r="C2432" t="s">
        <v>5260</v>
      </c>
      <c r="D2432" t="s">
        <v>211</v>
      </c>
      <c r="E2432" t="s">
        <v>19</v>
      </c>
      <c r="F2432" t="s">
        <v>5261</v>
      </c>
      <c r="G2432" t="str">
        <f>"00533011"</f>
        <v>00533011</v>
      </c>
      <c r="H2432">
        <v>28.4</v>
      </c>
      <c r="I2432">
        <v>0</v>
      </c>
      <c r="M2432">
        <v>0</v>
      </c>
      <c r="N2432">
        <v>0</v>
      </c>
      <c r="O2432">
        <v>0</v>
      </c>
      <c r="P2432">
        <v>28.4</v>
      </c>
      <c r="Q2432">
        <v>0</v>
      </c>
      <c r="R2432">
        <v>0</v>
      </c>
      <c r="S2432">
        <v>0</v>
      </c>
      <c r="T2432">
        <v>0</v>
      </c>
      <c r="U2432" s="1">
        <v>0</v>
      </c>
      <c r="V2432">
        <v>28.4</v>
      </c>
    </row>
    <row r="2433" spans="1:22" ht="15">
      <c r="A2433" s="4">
        <v>2426</v>
      </c>
      <c r="B2433">
        <v>237</v>
      </c>
      <c r="C2433" t="s">
        <v>2247</v>
      </c>
      <c r="D2433" t="s">
        <v>5262</v>
      </c>
      <c r="E2433" t="s">
        <v>90</v>
      </c>
      <c r="F2433" t="s">
        <v>5263</v>
      </c>
      <c r="G2433" t="str">
        <f>"201511020261"</f>
        <v>201511020261</v>
      </c>
      <c r="H2433">
        <v>14.4</v>
      </c>
      <c r="I2433">
        <v>10</v>
      </c>
      <c r="M2433">
        <v>4</v>
      </c>
      <c r="N2433">
        <v>0</v>
      </c>
      <c r="O2433">
        <v>0</v>
      </c>
      <c r="P2433">
        <v>28.4</v>
      </c>
      <c r="Q2433">
        <v>0</v>
      </c>
      <c r="R2433">
        <v>0</v>
      </c>
      <c r="S2433">
        <v>0</v>
      </c>
      <c r="T2433">
        <v>0</v>
      </c>
      <c r="U2433" s="1">
        <v>0</v>
      </c>
      <c r="V2433">
        <v>28.4</v>
      </c>
    </row>
    <row r="2434" spans="1:22" ht="15">
      <c r="A2434" s="4">
        <v>2427</v>
      </c>
      <c r="B2434">
        <v>1952</v>
      </c>
      <c r="C2434" t="s">
        <v>5264</v>
      </c>
      <c r="D2434" t="s">
        <v>102</v>
      </c>
      <c r="E2434" t="s">
        <v>83</v>
      </c>
      <c r="F2434" t="s">
        <v>5265</v>
      </c>
      <c r="G2434" t="str">
        <f>"201511041716"</f>
        <v>201511041716</v>
      </c>
      <c r="H2434">
        <v>14.4</v>
      </c>
      <c r="I2434">
        <v>10</v>
      </c>
      <c r="M2434">
        <v>4</v>
      </c>
      <c r="N2434">
        <v>0</v>
      </c>
      <c r="O2434">
        <v>0</v>
      </c>
      <c r="P2434">
        <v>28.4</v>
      </c>
      <c r="Q2434">
        <v>0</v>
      </c>
      <c r="R2434">
        <v>0</v>
      </c>
      <c r="S2434">
        <v>0</v>
      </c>
      <c r="T2434">
        <v>0</v>
      </c>
      <c r="U2434" s="1">
        <v>0</v>
      </c>
      <c r="V2434">
        <v>28.4</v>
      </c>
    </row>
    <row r="2435" spans="1:22" ht="15">
      <c r="A2435" s="4">
        <v>2428</v>
      </c>
      <c r="B2435">
        <v>88</v>
      </c>
      <c r="C2435" t="s">
        <v>5266</v>
      </c>
      <c r="D2435" t="s">
        <v>582</v>
      </c>
      <c r="E2435" t="s">
        <v>11</v>
      </c>
      <c r="F2435" t="s">
        <v>5267</v>
      </c>
      <c r="G2435" t="str">
        <f>"00521331"</f>
        <v>00521331</v>
      </c>
      <c r="H2435">
        <v>28.36</v>
      </c>
      <c r="I2435">
        <v>0</v>
      </c>
      <c r="M2435">
        <v>0</v>
      </c>
      <c r="N2435">
        <v>0</v>
      </c>
      <c r="O2435">
        <v>0</v>
      </c>
      <c r="P2435">
        <v>28.36</v>
      </c>
      <c r="Q2435">
        <v>0</v>
      </c>
      <c r="R2435">
        <v>0</v>
      </c>
      <c r="S2435">
        <v>0</v>
      </c>
      <c r="T2435">
        <v>0</v>
      </c>
      <c r="U2435" s="1">
        <v>0</v>
      </c>
      <c r="V2435">
        <v>28.36</v>
      </c>
    </row>
    <row r="2436" spans="1:22" ht="15">
      <c r="A2436" s="4">
        <v>2429</v>
      </c>
      <c r="B2436">
        <v>893</v>
      </c>
      <c r="C2436" t="s">
        <v>5268</v>
      </c>
      <c r="D2436" t="s">
        <v>5269</v>
      </c>
      <c r="E2436" t="s">
        <v>4246</v>
      </c>
      <c r="F2436" t="s">
        <v>5270</v>
      </c>
      <c r="G2436" t="str">
        <f>"00513392"</f>
        <v>00513392</v>
      </c>
      <c r="H2436">
        <v>22.28</v>
      </c>
      <c r="I2436">
        <v>0</v>
      </c>
      <c r="M2436">
        <v>0</v>
      </c>
      <c r="N2436">
        <v>0</v>
      </c>
      <c r="O2436">
        <v>0</v>
      </c>
      <c r="P2436">
        <v>22.28</v>
      </c>
      <c r="Q2436">
        <v>0</v>
      </c>
      <c r="R2436">
        <v>0</v>
      </c>
      <c r="S2436">
        <v>6</v>
      </c>
      <c r="T2436">
        <v>0</v>
      </c>
      <c r="U2436" s="1">
        <v>0</v>
      </c>
      <c r="V2436">
        <v>28.28</v>
      </c>
    </row>
    <row r="2437" spans="1:22" ht="15">
      <c r="A2437" s="4">
        <v>2430</v>
      </c>
      <c r="B2437">
        <v>2449</v>
      </c>
      <c r="C2437" t="s">
        <v>5271</v>
      </c>
      <c r="D2437" t="s">
        <v>273</v>
      </c>
      <c r="E2437" t="s">
        <v>83</v>
      </c>
      <c r="F2437" t="s">
        <v>5272</v>
      </c>
      <c r="G2437" t="str">
        <f>"00023404"</f>
        <v>00023404</v>
      </c>
      <c r="H2437">
        <v>20.28</v>
      </c>
      <c r="I2437">
        <v>0</v>
      </c>
      <c r="L2437">
        <v>4</v>
      </c>
      <c r="M2437">
        <v>4</v>
      </c>
      <c r="N2437">
        <v>4</v>
      </c>
      <c r="O2437">
        <v>0</v>
      </c>
      <c r="P2437">
        <v>28.28</v>
      </c>
      <c r="Q2437">
        <v>0</v>
      </c>
      <c r="R2437">
        <v>0</v>
      </c>
      <c r="S2437">
        <v>0</v>
      </c>
      <c r="T2437">
        <v>0</v>
      </c>
      <c r="U2437" s="1">
        <v>0</v>
      </c>
      <c r="V2437">
        <v>28.28</v>
      </c>
    </row>
    <row r="2438" spans="1:22" ht="15">
      <c r="A2438" s="4">
        <v>2431</v>
      </c>
      <c r="B2438">
        <v>99</v>
      </c>
      <c r="C2438" t="s">
        <v>2589</v>
      </c>
      <c r="D2438" t="s">
        <v>511</v>
      </c>
      <c r="E2438" t="s">
        <v>1634</v>
      </c>
      <c r="F2438" t="s">
        <v>5273</v>
      </c>
      <c r="G2438" t="str">
        <f>"00526693"</f>
        <v>00526693</v>
      </c>
      <c r="H2438">
        <v>7.2</v>
      </c>
      <c r="I2438">
        <v>0</v>
      </c>
      <c r="M2438">
        <v>4</v>
      </c>
      <c r="N2438">
        <v>0</v>
      </c>
      <c r="O2438">
        <v>0</v>
      </c>
      <c r="P2438">
        <v>11.2</v>
      </c>
      <c r="Q2438">
        <v>14</v>
      </c>
      <c r="R2438">
        <v>14</v>
      </c>
      <c r="S2438">
        <v>3</v>
      </c>
      <c r="T2438">
        <v>0</v>
      </c>
      <c r="U2438" s="1">
        <v>0</v>
      </c>
      <c r="V2438">
        <v>28.2</v>
      </c>
    </row>
    <row r="2439" spans="1:22" ht="15">
      <c r="A2439" s="4">
        <v>2432</v>
      </c>
      <c r="B2439">
        <v>2161</v>
      </c>
      <c r="C2439" t="s">
        <v>5071</v>
      </c>
      <c r="D2439" t="s">
        <v>29</v>
      </c>
      <c r="E2439" t="s">
        <v>19</v>
      </c>
      <c r="F2439" t="s">
        <v>5274</v>
      </c>
      <c r="G2439" t="str">
        <f>"00513740"</f>
        <v>00513740</v>
      </c>
      <c r="H2439">
        <v>18.16</v>
      </c>
      <c r="I2439">
        <v>0</v>
      </c>
      <c r="M2439">
        <v>4</v>
      </c>
      <c r="N2439">
        <v>0</v>
      </c>
      <c r="O2439">
        <v>0</v>
      </c>
      <c r="P2439">
        <v>22.16</v>
      </c>
      <c r="Q2439">
        <v>0</v>
      </c>
      <c r="R2439">
        <v>0</v>
      </c>
      <c r="S2439">
        <v>6</v>
      </c>
      <c r="T2439">
        <v>0</v>
      </c>
      <c r="U2439" s="1">
        <v>0</v>
      </c>
      <c r="V2439">
        <v>28.16</v>
      </c>
    </row>
    <row r="2440" spans="1:22" ht="15">
      <c r="A2440" s="4">
        <v>2433</v>
      </c>
      <c r="B2440">
        <v>2703</v>
      </c>
      <c r="C2440" t="s">
        <v>935</v>
      </c>
      <c r="D2440" t="s">
        <v>5275</v>
      </c>
      <c r="E2440" t="s">
        <v>11</v>
      </c>
      <c r="F2440" t="s">
        <v>5276</v>
      </c>
      <c r="G2440" t="str">
        <f>"00530771"</f>
        <v>00530771</v>
      </c>
      <c r="H2440">
        <v>21.08</v>
      </c>
      <c r="I2440">
        <v>0</v>
      </c>
      <c r="M2440">
        <v>4</v>
      </c>
      <c r="N2440">
        <v>0</v>
      </c>
      <c r="O2440">
        <v>0</v>
      </c>
      <c r="P2440">
        <v>25.08</v>
      </c>
      <c r="Q2440">
        <v>0</v>
      </c>
      <c r="R2440">
        <v>0</v>
      </c>
      <c r="S2440">
        <v>3</v>
      </c>
      <c r="T2440">
        <v>0</v>
      </c>
      <c r="U2440" s="1">
        <v>0</v>
      </c>
      <c r="V2440">
        <v>28.08</v>
      </c>
    </row>
    <row r="2441" spans="1:22" ht="15">
      <c r="A2441" s="4">
        <v>2434</v>
      </c>
      <c r="B2441">
        <v>274</v>
      </c>
      <c r="C2441" t="s">
        <v>5277</v>
      </c>
      <c r="D2441" t="s">
        <v>5278</v>
      </c>
      <c r="E2441" t="s">
        <v>5279</v>
      </c>
      <c r="F2441" t="s">
        <v>5280</v>
      </c>
      <c r="G2441" t="str">
        <f>"00531300"</f>
        <v>00531300</v>
      </c>
      <c r="H2441">
        <v>25.08</v>
      </c>
      <c r="I2441">
        <v>0</v>
      </c>
      <c r="M2441">
        <v>0</v>
      </c>
      <c r="N2441">
        <v>0</v>
      </c>
      <c r="O2441">
        <v>0</v>
      </c>
      <c r="P2441">
        <v>25.08</v>
      </c>
      <c r="Q2441">
        <v>0</v>
      </c>
      <c r="R2441">
        <v>0</v>
      </c>
      <c r="S2441">
        <v>3</v>
      </c>
      <c r="T2441">
        <v>0</v>
      </c>
      <c r="U2441" s="1">
        <v>0</v>
      </c>
      <c r="V2441">
        <v>28.08</v>
      </c>
    </row>
    <row r="2442" spans="1:22" ht="15">
      <c r="A2442" s="4">
        <v>2435</v>
      </c>
      <c r="B2442">
        <v>1812</v>
      </c>
      <c r="C2442" t="s">
        <v>1219</v>
      </c>
      <c r="D2442" t="s">
        <v>58</v>
      </c>
      <c r="E2442" t="s">
        <v>447</v>
      </c>
      <c r="F2442" t="s">
        <v>5281</v>
      </c>
      <c r="G2442" t="str">
        <f>"00523844"</f>
        <v>00523844</v>
      </c>
      <c r="H2442">
        <v>24</v>
      </c>
      <c r="I2442">
        <v>0</v>
      </c>
      <c r="M2442">
        <v>4</v>
      </c>
      <c r="N2442">
        <v>0</v>
      </c>
      <c r="O2442">
        <v>0</v>
      </c>
      <c r="P2442">
        <v>28</v>
      </c>
      <c r="Q2442">
        <v>0</v>
      </c>
      <c r="R2442">
        <v>0</v>
      </c>
      <c r="S2442">
        <v>0</v>
      </c>
      <c r="T2442">
        <v>0</v>
      </c>
      <c r="U2442" s="1">
        <v>0</v>
      </c>
      <c r="V2442">
        <v>28</v>
      </c>
    </row>
    <row r="2443" spans="1:22" ht="15">
      <c r="A2443" s="4">
        <v>2436</v>
      </c>
      <c r="B2443">
        <v>2117</v>
      </c>
      <c r="C2443" t="s">
        <v>3937</v>
      </c>
      <c r="D2443" t="s">
        <v>1205</v>
      </c>
      <c r="E2443" t="s">
        <v>23</v>
      </c>
      <c r="F2443" t="s">
        <v>5282</v>
      </c>
      <c r="G2443" t="str">
        <f>"00442111"</f>
        <v>00442111</v>
      </c>
      <c r="H2443">
        <v>26</v>
      </c>
      <c r="I2443">
        <v>0</v>
      </c>
      <c r="M2443">
        <v>0</v>
      </c>
      <c r="N2443">
        <v>0</v>
      </c>
      <c r="O2443">
        <v>0</v>
      </c>
      <c r="P2443">
        <v>26</v>
      </c>
      <c r="Q2443">
        <v>2</v>
      </c>
      <c r="R2443">
        <v>2</v>
      </c>
      <c r="S2443">
        <v>0</v>
      </c>
      <c r="T2443">
        <v>0</v>
      </c>
      <c r="U2443" s="1">
        <v>0</v>
      </c>
      <c r="V2443">
        <v>28</v>
      </c>
    </row>
    <row r="2444" spans="1:22" ht="15">
      <c r="A2444" s="4">
        <v>2437</v>
      </c>
      <c r="B2444">
        <v>2554</v>
      </c>
      <c r="C2444" t="s">
        <v>5283</v>
      </c>
      <c r="D2444" t="s">
        <v>68</v>
      </c>
      <c r="E2444" t="s">
        <v>927</v>
      </c>
      <c r="F2444" t="s">
        <v>5284</v>
      </c>
      <c r="G2444" t="str">
        <f>"00442287"</f>
        <v>00442287</v>
      </c>
      <c r="H2444">
        <v>13.84</v>
      </c>
      <c r="I2444">
        <v>10</v>
      </c>
      <c r="M2444">
        <v>4</v>
      </c>
      <c r="N2444">
        <v>0</v>
      </c>
      <c r="O2444">
        <v>0</v>
      </c>
      <c r="P2444">
        <v>27.84</v>
      </c>
      <c r="Q2444">
        <v>0</v>
      </c>
      <c r="R2444">
        <v>0</v>
      </c>
      <c r="S2444">
        <v>0</v>
      </c>
      <c r="T2444">
        <v>0</v>
      </c>
      <c r="U2444" s="1">
        <v>0</v>
      </c>
      <c r="V2444">
        <v>27.84</v>
      </c>
    </row>
    <row r="2445" spans="1:22" ht="15">
      <c r="A2445" s="4">
        <v>2438</v>
      </c>
      <c r="B2445">
        <v>572</v>
      </c>
      <c r="C2445" t="s">
        <v>5285</v>
      </c>
      <c r="D2445" t="s">
        <v>82</v>
      </c>
      <c r="E2445" t="s">
        <v>344</v>
      </c>
      <c r="F2445" t="s">
        <v>5286</v>
      </c>
      <c r="G2445" t="str">
        <f>"00523182"</f>
        <v>00523182</v>
      </c>
      <c r="H2445">
        <v>24.8</v>
      </c>
      <c r="I2445">
        <v>0</v>
      </c>
      <c r="M2445">
        <v>0</v>
      </c>
      <c r="N2445">
        <v>0</v>
      </c>
      <c r="O2445">
        <v>0</v>
      </c>
      <c r="P2445">
        <v>24.8</v>
      </c>
      <c r="Q2445">
        <v>0</v>
      </c>
      <c r="R2445">
        <v>0</v>
      </c>
      <c r="S2445">
        <v>3</v>
      </c>
      <c r="T2445">
        <v>0</v>
      </c>
      <c r="U2445" s="1">
        <v>0</v>
      </c>
      <c r="V2445">
        <v>27.8</v>
      </c>
    </row>
    <row r="2446" spans="1:22" ht="15">
      <c r="A2446" s="4">
        <v>2439</v>
      </c>
      <c r="B2446">
        <v>3245</v>
      </c>
      <c r="C2446" t="s">
        <v>413</v>
      </c>
      <c r="D2446" t="s">
        <v>14</v>
      </c>
      <c r="E2446" t="s">
        <v>242</v>
      </c>
      <c r="F2446" t="s">
        <v>5287</v>
      </c>
      <c r="G2446" t="str">
        <f>"00533703"</f>
        <v>00533703</v>
      </c>
      <c r="H2446">
        <v>21.76</v>
      </c>
      <c r="I2446">
        <v>0</v>
      </c>
      <c r="M2446">
        <v>0</v>
      </c>
      <c r="N2446">
        <v>0</v>
      </c>
      <c r="O2446">
        <v>0</v>
      </c>
      <c r="P2446">
        <v>21.76</v>
      </c>
      <c r="Q2446">
        <v>0</v>
      </c>
      <c r="R2446">
        <v>0</v>
      </c>
      <c r="S2446">
        <v>6</v>
      </c>
      <c r="T2446">
        <v>0</v>
      </c>
      <c r="U2446" s="1">
        <v>0</v>
      </c>
      <c r="V2446">
        <v>27.76</v>
      </c>
    </row>
    <row r="2447" spans="1:22" ht="15">
      <c r="A2447" s="4">
        <v>2440</v>
      </c>
      <c r="B2447">
        <v>3133</v>
      </c>
      <c r="C2447" t="s">
        <v>5288</v>
      </c>
      <c r="D2447" t="s">
        <v>40</v>
      </c>
      <c r="E2447" t="s">
        <v>73</v>
      </c>
      <c r="F2447" t="s">
        <v>5289</v>
      </c>
      <c r="G2447" t="str">
        <f>"00524727"</f>
        <v>00524727</v>
      </c>
      <c r="H2447">
        <v>27.72</v>
      </c>
      <c r="I2447">
        <v>0</v>
      </c>
      <c r="M2447">
        <v>0</v>
      </c>
      <c r="N2447">
        <v>0</v>
      </c>
      <c r="O2447">
        <v>0</v>
      </c>
      <c r="P2447">
        <v>27.72</v>
      </c>
      <c r="Q2447">
        <v>0</v>
      </c>
      <c r="R2447">
        <v>0</v>
      </c>
      <c r="S2447">
        <v>0</v>
      </c>
      <c r="T2447">
        <v>0</v>
      </c>
      <c r="U2447" s="1">
        <v>0</v>
      </c>
      <c r="V2447">
        <v>27.72</v>
      </c>
    </row>
    <row r="2448" spans="1:22" ht="15">
      <c r="A2448" s="4">
        <v>2441</v>
      </c>
      <c r="B2448">
        <v>1058</v>
      </c>
      <c r="C2448" t="s">
        <v>5290</v>
      </c>
      <c r="D2448" t="s">
        <v>76</v>
      </c>
      <c r="E2448" t="s">
        <v>23</v>
      </c>
      <c r="F2448" t="s">
        <v>5291</v>
      </c>
      <c r="G2448" t="str">
        <f>"00379336"</f>
        <v>00379336</v>
      </c>
      <c r="H2448">
        <v>21.6</v>
      </c>
      <c r="I2448">
        <v>0</v>
      </c>
      <c r="M2448">
        <v>0</v>
      </c>
      <c r="N2448">
        <v>0</v>
      </c>
      <c r="O2448">
        <v>0</v>
      </c>
      <c r="P2448">
        <v>21.6</v>
      </c>
      <c r="Q2448">
        <v>0</v>
      </c>
      <c r="R2448">
        <v>0</v>
      </c>
      <c r="S2448">
        <v>6</v>
      </c>
      <c r="T2448">
        <v>0</v>
      </c>
      <c r="U2448" s="1">
        <v>0</v>
      </c>
      <c r="V2448">
        <v>27.6</v>
      </c>
    </row>
    <row r="2449" spans="1:22" ht="15">
      <c r="A2449" s="4">
        <v>2442</v>
      </c>
      <c r="B2449">
        <v>2614</v>
      </c>
      <c r="C2449" t="s">
        <v>5292</v>
      </c>
      <c r="D2449" t="s">
        <v>1445</v>
      </c>
      <c r="E2449" t="s">
        <v>317</v>
      </c>
      <c r="F2449" t="s">
        <v>5293</v>
      </c>
      <c r="G2449" t="str">
        <f>"201201000074"</f>
        <v>201201000074</v>
      </c>
      <c r="H2449">
        <v>21.6</v>
      </c>
      <c r="I2449">
        <v>0</v>
      </c>
      <c r="M2449">
        <v>4</v>
      </c>
      <c r="N2449">
        <v>0</v>
      </c>
      <c r="O2449">
        <v>2</v>
      </c>
      <c r="P2449">
        <v>27.6</v>
      </c>
      <c r="Q2449">
        <v>0</v>
      </c>
      <c r="R2449">
        <v>0</v>
      </c>
      <c r="S2449">
        <v>0</v>
      </c>
      <c r="T2449">
        <v>0</v>
      </c>
      <c r="U2449" s="1" t="s">
        <v>6251</v>
      </c>
      <c r="V2449">
        <v>27.6</v>
      </c>
    </row>
    <row r="2450" spans="1:22" ht="15">
      <c r="A2450" s="4">
        <v>2443</v>
      </c>
      <c r="B2450">
        <v>2935</v>
      </c>
      <c r="C2450" t="s">
        <v>5294</v>
      </c>
      <c r="D2450" t="s">
        <v>160</v>
      </c>
      <c r="E2450" t="s">
        <v>23</v>
      </c>
      <c r="F2450" t="s">
        <v>5295</v>
      </c>
      <c r="G2450" t="str">
        <f>"00190244"</f>
        <v>00190244</v>
      </c>
      <c r="H2450">
        <v>21.6</v>
      </c>
      <c r="I2450">
        <v>0</v>
      </c>
      <c r="M2450">
        <v>4</v>
      </c>
      <c r="N2450">
        <v>0</v>
      </c>
      <c r="O2450">
        <v>2</v>
      </c>
      <c r="P2450">
        <v>27.6</v>
      </c>
      <c r="Q2450">
        <v>0</v>
      </c>
      <c r="R2450">
        <v>0</v>
      </c>
      <c r="S2450">
        <v>0</v>
      </c>
      <c r="T2450">
        <v>0</v>
      </c>
      <c r="U2450" s="1">
        <v>0</v>
      </c>
      <c r="V2450">
        <v>27.6</v>
      </c>
    </row>
    <row r="2451" spans="1:22" ht="15">
      <c r="A2451" s="4">
        <v>2444</v>
      </c>
      <c r="B2451">
        <v>757</v>
      </c>
      <c r="C2451" t="s">
        <v>5296</v>
      </c>
      <c r="D2451" t="s">
        <v>5297</v>
      </c>
      <c r="E2451" t="s">
        <v>11</v>
      </c>
      <c r="F2451" t="s">
        <v>5298</v>
      </c>
      <c r="G2451" t="str">
        <f>"00533019"</f>
        <v>00533019</v>
      </c>
      <c r="H2451">
        <v>21.6</v>
      </c>
      <c r="I2451">
        <v>0</v>
      </c>
      <c r="M2451">
        <v>0</v>
      </c>
      <c r="N2451">
        <v>0</v>
      </c>
      <c r="O2451">
        <v>0</v>
      </c>
      <c r="P2451">
        <v>21.6</v>
      </c>
      <c r="Q2451">
        <v>0</v>
      </c>
      <c r="R2451">
        <v>0</v>
      </c>
      <c r="S2451">
        <v>6</v>
      </c>
      <c r="T2451">
        <v>0</v>
      </c>
      <c r="U2451" s="1">
        <v>0</v>
      </c>
      <c r="V2451">
        <v>27.6</v>
      </c>
    </row>
    <row r="2452" spans="1:22" ht="15">
      <c r="A2452" s="4">
        <v>2445</v>
      </c>
      <c r="B2452">
        <v>2231</v>
      </c>
      <c r="C2452" t="s">
        <v>5299</v>
      </c>
      <c r="D2452" t="s">
        <v>14</v>
      </c>
      <c r="E2452" t="s">
        <v>15</v>
      </c>
      <c r="F2452" t="s">
        <v>5300</v>
      </c>
      <c r="G2452" t="str">
        <f>"00514200"</f>
        <v>00514200</v>
      </c>
      <c r="H2452">
        <v>21.6</v>
      </c>
      <c r="I2452">
        <v>0</v>
      </c>
      <c r="M2452">
        <v>0</v>
      </c>
      <c r="N2452">
        <v>0</v>
      </c>
      <c r="O2452">
        <v>0</v>
      </c>
      <c r="P2452">
        <v>21.6</v>
      </c>
      <c r="Q2452">
        <v>6</v>
      </c>
      <c r="R2452">
        <v>6</v>
      </c>
      <c r="S2452">
        <v>0</v>
      </c>
      <c r="T2452">
        <v>0</v>
      </c>
      <c r="U2452" s="1">
        <v>0</v>
      </c>
      <c r="V2452">
        <v>27.6</v>
      </c>
    </row>
    <row r="2453" spans="1:22" ht="15">
      <c r="A2453" s="4">
        <v>2446</v>
      </c>
      <c r="B2453">
        <v>2031</v>
      </c>
      <c r="C2453" t="s">
        <v>1442</v>
      </c>
      <c r="D2453" t="s">
        <v>5301</v>
      </c>
      <c r="E2453" t="s">
        <v>5302</v>
      </c>
      <c r="F2453" t="s">
        <v>5303</v>
      </c>
      <c r="G2453" t="str">
        <f>"00454136"</f>
        <v>00454136</v>
      </c>
      <c r="H2453">
        <v>9.6</v>
      </c>
      <c r="I2453">
        <v>10</v>
      </c>
      <c r="L2453">
        <v>4</v>
      </c>
      <c r="M2453">
        <v>4</v>
      </c>
      <c r="N2453">
        <v>4</v>
      </c>
      <c r="O2453">
        <v>0</v>
      </c>
      <c r="P2453">
        <v>27.6</v>
      </c>
      <c r="Q2453">
        <v>0</v>
      </c>
      <c r="R2453">
        <v>0</v>
      </c>
      <c r="S2453">
        <v>0</v>
      </c>
      <c r="T2453">
        <v>0</v>
      </c>
      <c r="U2453" s="1">
        <v>0</v>
      </c>
      <c r="V2453">
        <v>27.6</v>
      </c>
    </row>
    <row r="2454" spans="1:22" ht="15">
      <c r="A2454" s="4">
        <v>2447</v>
      </c>
      <c r="B2454">
        <v>1921</v>
      </c>
      <c r="C2454" t="s">
        <v>5304</v>
      </c>
      <c r="D2454" t="s">
        <v>40</v>
      </c>
      <c r="E2454" t="s">
        <v>167</v>
      </c>
      <c r="F2454" t="s">
        <v>5305</v>
      </c>
      <c r="G2454" t="str">
        <f>"00530735"</f>
        <v>00530735</v>
      </c>
      <c r="H2454">
        <v>21.6</v>
      </c>
      <c r="I2454">
        <v>0</v>
      </c>
      <c r="M2454">
        <v>0</v>
      </c>
      <c r="N2454">
        <v>0</v>
      </c>
      <c r="O2454">
        <v>0</v>
      </c>
      <c r="P2454">
        <v>21.6</v>
      </c>
      <c r="Q2454">
        <v>3</v>
      </c>
      <c r="R2454">
        <v>3</v>
      </c>
      <c r="S2454">
        <v>3</v>
      </c>
      <c r="T2454">
        <v>0</v>
      </c>
      <c r="U2454" s="1">
        <v>0</v>
      </c>
      <c r="V2454">
        <v>27.6</v>
      </c>
    </row>
    <row r="2455" spans="1:22" ht="15">
      <c r="A2455" s="4">
        <v>2448</v>
      </c>
      <c r="B2455">
        <v>433</v>
      </c>
      <c r="C2455" t="s">
        <v>5306</v>
      </c>
      <c r="D2455" t="s">
        <v>14</v>
      </c>
      <c r="E2455" t="s">
        <v>73</v>
      </c>
      <c r="F2455" t="s">
        <v>5307</v>
      </c>
      <c r="G2455" t="str">
        <f>"00531890"</f>
        <v>00531890</v>
      </c>
      <c r="H2455">
        <v>24.52</v>
      </c>
      <c r="I2455">
        <v>0</v>
      </c>
      <c r="M2455">
        <v>0</v>
      </c>
      <c r="N2455">
        <v>0</v>
      </c>
      <c r="O2455">
        <v>0</v>
      </c>
      <c r="P2455">
        <v>24.52</v>
      </c>
      <c r="Q2455">
        <v>0</v>
      </c>
      <c r="R2455">
        <v>0</v>
      </c>
      <c r="S2455">
        <v>3</v>
      </c>
      <c r="T2455">
        <v>0</v>
      </c>
      <c r="U2455" s="1">
        <v>0</v>
      </c>
      <c r="V2455">
        <v>27.52</v>
      </c>
    </row>
    <row r="2456" spans="1:22" ht="15">
      <c r="A2456" s="4">
        <v>2449</v>
      </c>
      <c r="B2456">
        <v>767</v>
      </c>
      <c r="C2456" t="s">
        <v>5308</v>
      </c>
      <c r="D2456" t="s">
        <v>179</v>
      </c>
      <c r="E2456" t="s">
        <v>295</v>
      </c>
      <c r="F2456" t="s">
        <v>5309</v>
      </c>
      <c r="G2456" t="str">
        <f>"00294723"</f>
        <v>00294723</v>
      </c>
      <c r="H2456">
        <v>14.4</v>
      </c>
      <c r="I2456">
        <v>0</v>
      </c>
      <c r="M2456">
        <v>4</v>
      </c>
      <c r="N2456">
        <v>0</v>
      </c>
      <c r="O2456">
        <v>0</v>
      </c>
      <c r="P2456">
        <v>18.4</v>
      </c>
      <c r="Q2456">
        <v>0</v>
      </c>
      <c r="R2456">
        <v>0</v>
      </c>
      <c r="S2456">
        <v>9</v>
      </c>
      <c r="T2456">
        <v>0</v>
      </c>
      <c r="U2456" s="1">
        <v>0</v>
      </c>
      <c r="V2456">
        <v>27.4</v>
      </c>
    </row>
    <row r="2457" spans="1:22" ht="15">
      <c r="A2457" s="4">
        <v>2450</v>
      </c>
      <c r="B2457">
        <v>1984</v>
      </c>
      <c r="C2457" t="s">
        <v>5310</v>
      </c>
      <c r="D2457" t="s">
        <v>643</v>
      </c>
      <c r="E2457" t="s">
        <v>90</v>
      </c>
      <c r="F2457" t="s">
        <v>5311</v>
      </c>
      <c r="G2457" t="str">
        <f>"00441566"</f>
        <v>00441566</v>
      </c>
      <c r="H2457">
        <v>14.4</v>
      </c>
      <c r="I2457">
        <v>10</v>
      </c>
      <c r="M2457">
        <v>0</v>
      </c>
      <c r="N2457">
        <v>0</v>
      </c>
      <c r="O2457">
        <v>0</v>
      </c>
      <c r="P2457">
        <v>24.4</v>
      </c>
      <c r="Q2457">
        <v>0</v>
      </c>
      <c r="R2457">
        <v>0</v>
      </c>
      <c r="S2457">
        <v>3</v>
      </c>
      <c r="T2457">
        <v>0</v>
      </c>
      <c r="U2457" s="1">
        <v>0</v>
      </c>
      <c r="V2457">
        <v>27.4</v>
      </c>
    </row>
    <row r="2458" spans="1:22" ht="15">
      <c r="A2458" s="4">
        <v>2451</v>
      </c>
      <c r="B2458">
        <v>2657</v>
      </c>
      <c r="C2458" t="s">
        <v>5312</v>
      </c>
      <c r="D2458" t="s">
        <v>755</v>
      </c>
      <c r="E2458" t="s">
        <v>344</v>
      </c>
      <c r="F2458" t="s">
        <v>5313</v>
      </c>
      <c r="G2458" t="str">
        <f>"00532886"</f>
        <v>00532886</v>
      </c>
      <c r="H2458">
        <v>14.4</v>
      </c>
      <c r="I2458">
        <v>0</v>
      </c>
      <c r="M2458">
        <v>4</v>
      </c>
      <c r="N2458">
        <v>0</v>
      </c>
      <c r="O2458">
        <v>0</v>
      </c>
      <c r="P2458">
        <v>18.4</v>
      </c>
      <c r="Q2458">
        <v>0</v>
      </c>
      <c r="R2458">
        <v>0</v>
      </c>
      <c r="S2458">
        <v>9</v>
      </c>
      <c r="T2458">
        <v>0</v>
      </c>
      <c r="U2458" s="1">
        <v>0</v>
      </c>
      <c r="V2458">
        <v>27.4</v>
      </c>
    </row>
    <row r="2459" spans="1:22" ht="15">
      <c r="A2459" s="4">
        <v>2452</v>
      </c>
      <c r="B2459">
        <v>2555</v>
      </c>
      <c r="C2459" t="s">
        <v>5314</v>
      </c>
      <c r="D2459" t="s">
        <v>72</v>
      </c>
      <c r="E2459" t="s">
        <v>1007</v>
      </c>
      <c r="F2459" t="s">
        <v>5315</v>
      </c>
      <c r="G2459" t="str">
        <f>"00311154"</f>
        <v>00311154</v>
      </c>
      <c r="H2459">
        <v>14.4</v>
      </c>
      <c r="I2459">
        <v>0</v>
      </c>
      <c r="M2459">
        <v>4</v>
      </c>
      <c r="N2459">
        <v>0</v>
      </c>
      <c r="O2459">
        <v>0</v>
      </c>
      <c r="P2459">
        <v>18.4</v>
      </c>
      <c r="Q2459">
        <v>0</v>
      </c>
      <c r="R2459">
        <v>0</v>
      </c>
      <c r="S2459">
        <v>9</v>
      </c>
      <c r="T2459">
        <v>0</v>
      </c>
      <c r="U2459" s="1">
        <v>0</v>
      </c>
      <c r="V2459">
        <v>27.4</v>
      </c>
    </row>
    <row r="2460" spans="1:22" ht="15">
      <c r="A2460" s="4">
        <v>2453</v>
      </c>
      <c r="B2460">
        <v>3195</v>
      </c>
      <c r="C2460" t="s">
        <v>3497</v>
      </c>
      <c r="D2460" t="s">
        <v>1697</v>
      </c>
      <c r="E2460" t="s">
        <v>327</v>
      </c>
      <c r="F2460" t="s">
        <v>5316</v>
      </c>
      <c r="G2460" t="str">
        <f>"00519449"</f>
        <v>00519449</v>
      </c>
      <c r="H2460">
        <v>24.36</v>
      </c>
      <c r="I2460">
        <v>0</v>
      </c>
      <c r="M2460">
        <v>0</v>
      </c>
      <c r="N2460">
        <v>0</v>
      </c>
      <c r="O2460">
        <v>0</v>
      </c>
      <c r="P2460">
        <v>24.36</v>
      </c>
      <c r="Q2460">
        <v>0</v>
      </c>
      <c r="R2460">
        <v>0</v>
      </c>
      <c r="S2460">
        <v>3</v>
      </c>
      <c r="T2460">
        <v>0</v>
      </c>
      <c r="U2460" s="1">
        <v>0</v>
      </c>
      <c r="V2460">
        <v>27.36</v>
      </c>
    </row>
    <row r="2461" spans="1:22" ht="15">
      <c r="A2461" s="4">
        <v>2454</v>
      </c>
      <c r="B2461">
        <v>2958</v>
      </c>
      <c r="C2461" t="s">
        <v>5317</v>
      </c>
      <c r="D2461" t="s">
        <v>29</v>
      </c>
      <c r="E2461" t="s">
        <v>83</v>
      </c>
      <c r="F2461" t="s">
        <v>5318</v>
      </c>
      <c r="G2461" t="str">
        <f>"00534239"</f>
        <v>00534239</v>
      </c>
      <c r="H2461">
        <v>24.28</v>
      </c>
      <c r="I2461">
        <v>0</v>
      </c>
      <c r="M2461">
        <v>0</v>
      </c>
      <c r="N2461">
        <v>0</v>
      </c>
      <c r="O2461">
        <v>0</v>
      </c>
      <c r="P2461">
        <v>24.28</v>
      </c>
      <c r="Q2461">
        <v>3</v>
      </c>
      <c r="R2461">
        <v>3</v>
      </c>
      <c r="S2461">
        <v>0</v>
      </c>
      <c r="T2461">
        <v>0</v>
      </c>
      <c r="U2461" s="1">
        <v>0</v>
      </c>
      <c r="V2461">
        <v>27.28</v>
      </c>
    </row>
    <row r="2462" spans="1:22" ht="15">
      <c r="A2462" s="4">
        <v>2455</v>
      </c>
      <c r="B2462">
        <v>1691</v>
      </c>
      <c r="C2462" t="s">
        <v>5319</v>
      </c>
      <c r="D2462" t="s">
        <v>5320</v>
      </c>
      <c r="E2462" t="s">
        <v>90</v>
      </c>
      <c r="F2462" t="s">
        <v>5321</v>
      </c>
      <c r="G2462" t="str">
        <f>"00525838"</f>
        <v>00525838</v>
      </c>
      <c r="H2462">
        <v>20.24</v>
      </c>
      <c r="I2462">
        <v>0</v>
      </c>
      <c r="M2462">
        <v>4</v>
      </c>
      <c r="N2462">
        <v>0</v>
      </c>
      <c r="O2462">
        <v>0</v>
      </c>
      <c r="P2462">
        <v>24.24</v>
      </c>
      <c r="Q2462">
        <v>0</v>
      </c>
      <c r="R2462">
        <v>0</v>
      </c>
      <c r="S2462">
        <v>3</v>
      </c>
      <c r="T2462">
        <v>0</v>
      </c>
      <c r="U2462" s="1">
        <v>0</v>
      </c>
      <c r="V2462">
        <v>27.24</v>
      </c>
    </row>
    <row r="2463" spans="1:22" ht="15">
      <c r="A2463" s="4">
        <v>2456</v>
      </c>
      <c r="B2463">
        <v>3249</v>
      </c>
      <c r="C2463" t="s">
        <v>2882</v>
      </c>
      <c r="D2463" t="s">
        <v>511</v>
      </c>
      <c r="E2463" t="s">
        <v>30</v>
      </c>
      <c r="F2463" t="s">
        <v>5322</v>
      </c>
      <c r="G2463" t="str">
        <f>"00531068"</f>
        <v>00531068</v>
      </c>
      <c r="H2463">
        <v>21.24</v>
      </c>
      <c r="I2463">
        <v>0</v>
      </c>
      <c r="M2463">
        <v>0</v>
      </c>
      <c r="N2463">
        <v>0</v>
      </c>
      <c r="O2463">
        <v>0</v>
      </c>
      <c r="P2463">
        <v>21.24</v>
      </c>
      <c r="Q2463">
        <v>0</v>
      </c>
      <c r="R2463">
        <v>0</v>
      </c>
      <c r="S2463">
        <v>6</v>
      </c>
      <c r="T2463">
        <v>0</v>
      </c>
      <c r="U2463" s="1">
        <v>0</v>
      </c>
      <c r="V2463">
        <v>27.24</v>
      </c>
    </row>
    <row r="2464" spans="1:22" ht="15">
      <c r="A2464" s="4">
        <v>2457</v>
      </c>
      <c r="B2464">
        <v>598</v>
      </c>
      <c r="C2464" t="s">
        <v>5323</v>
      </c>
      <c r="D2464" t="s">
        <v>156</v>
      </c>
      <c r="E2464" t="s">
        <v>55</v>
      </c>
      <c r="F2464" t="s">
        <v>5324</v>
      </c>
      <c r="G2464" t="str">
        <f>"00248871"</f>
        <v>00248871</v>
      </c>
      <c r="H2464">
        <v>21.2</v>
      </c>
      <c r="I2464">
        <v>0</v>
      </c>
      <c r="M2464">
        <v>0</v>
      </c>
      <c r="N2464">
        <v>0</v>
      </c>
      <c r="O2464">
        <v>0</v>
      </c>
      <c r="P2464">
        <v>21.2</v>
      </c>
      <c r="Q2464">
        <v>0</v>
      </c>
      <c r="R2464">
        <v>0</v>
      </c>
      <c r="S2464">
        <v>6</v>
      </c>
      <c r="T2464">
        <v>0</v>
      </c>
      <c r="U2464" s="1">
        <v>0</v>
      </c>
      <c r="V2464">
        <v>27.2</v>
      </c>
    </row>
    <row r="2465" spans="1:22" ht="15">
      <c r="A2465" s="4">
        <v>2458</v>
      </c>
      <c r="B2465">
        <v>2412</v>
      </c>
      <c r="C2465" t="s">
        <v>957</v>
      </c>
      <c r="D2465" t="s">
        <v>1346</v>
      </c>
      <c r="E2465" t="s">
        <v>99</v>
      </c>
      <c r="F2465" t="s">
        <v>5325</v>
      </c>
      <c r="G2465" t="str">
        <f>"00529710"</f>
        <v>00529710</v>
      </c>
      <c r="H2465">
        <v>21.2</v>
      </c>
      <c r="I2465">
        <v>0</v>
      </c>
      <c r="L2465">
        <v>4</v>
      </c>
      <c r="M2465">
        <v>0</v>
      </c>
      <c r="N2465">
        <v>4</v>
      </c>
      <c r="O2465">
        <v>2</v>
      </c>
      <c r="P2465">
        <v>27.2</v>
      </c>
      <c r="Q2465">
        <v>0</v>
      </c>
      <c r="R2465">
        <v>0</v>
      </c>
      <c r="S2465">
        <v>0</v>
      </c>
      <c r="T2465">
        <v>0</v>
      </c>
      <c r="U2465" s="1">
        <v>0</v>
      </c>
      <c r="V2465">
        <v>27.2</v>
      </c>
    </row>
    <row r="2466" spans="1:22" ht="15">
      <c r="A2466" s="4">
        <v>2459</v>
      </c>
      <c r="B2466">
        <v>2483</v>
      </c>
      <c r="C2466" t="s">
        <v>5326</v>
      </c>
      <c r="D2466" t="s">
        <v>1492</v>
      </c>
      <c r="E2466" t="s">
        <v>5327</v>
      </c>
      <c r="F2466" t="s">
        <v>5328</v>
      </c>
      <c r="G2466" t="str">
        <f>"00522413"</f>
        <v>00522413</v>
      </c>
      <c r="H2466">
        <v>7.2</v>
      </c>
      <c r="I2466">
        <v>10</v>
      </c>
      <c r="M2466">
        <v>4</v>
      </c>
      <c r="N2466">
        <v>0</v>
      </c>
      <c r="O2466">
        <v>0</v>
      </c>
      <c r="P2466">
        <v>21.2</v>
      </c>
      <c r="Q2466">
        <v>0</v>
      </c>
      <c r="R2466">
        <v>0</v>
      </c>
      <c r="S2466">
        <v>6</v>
      </c>
      <c r="T2466">
        <v>0</v>
      </c>
      <c r="U2466" s="1">
        <v>0</v>
      </c>
      <c r="V2466">
        <v>27.2</v>
      </c>
    </row>
    <row r="2467" spans="1:22" ht="15">
      <c r="A2467" s="4">
        <v>2460</v>
      </c>
      <c r="B2467">
        <v>1803</v>
      </c>
      <c r="C2467" t="s">
        <v>3887</v>
      </c>
      <c r="D2467" t="s">
        <v>1697</v>
      </c>
      <c r="E2467" t="s">
        <v>19</v>
      </c>
      <c r="F2467" t="s">
        <v>5329</v>
      </c>
      <c r="G2467" t="str">
        <f>"201511008805"</f>
        <v>201511008805</v>
      </c>
      <c r="H2467">
        <v>14.2</v>
      </c>
      <c r="I2467">
        <v>10</v>
      </c>
      <c r="M2467">
        <v>0</v>
      </c>
      <c r="N2467">
        <v>0</v>
      </c>
      <c r="O2467">
        <v>0</v>
      </c>
      <c r="P2467">
        <v>24.2</v>
      </c>
      <c r="Q2467">
        <v>0</v>
      </c>
      <c r="R2467">
        <v>0</v>
      </c>
      <c r="S2467">
        <v>3</v>
      </c>
      <c r="T2467">
        <v>0</v>
      </c>
      <c r="U2467" s="1">
        <v>0</v>
      </c>
      <c r="V2467">
        <v>27.2</v>
      </c>
    </row>
    <row r="2468" spans="1:22" ht="15">
      <c r="A2468" s="4">
        <v>2461</v>
      </c>
      <c r="B2468">
        <v>227</v>
      </c>
      <c r="C2468" t="s">
        <v>5330</v>
      </c>
      <c r="D2468" t="s">
        <v>121</v>
      </c>
      <c r="E2468" t="s">
        <v>19</v>
      </c>
      <c r="F2468" t="s">
        <v>5331</v>
      </c>
      <c r="G2468" t="str">
        <f>"00532580"</f>
        <v>00532580</v>
      </c>
      <c r="H2468">
        <v>14.12</v>
      </c>
      <c r="I2468">
        <v>10</v>
      </c>
      <c r="M2468">
        <v>0</v>
      </c>
      <c r="N2468">
        <v>0</v>
      </c>
      <c r="O2468">
        <v>0</v>
      </c>
      <c r="P2468">
        <v>24.12</v>
      </c>
      <c r="Q2468">
        <v>0</v>
      </c>
      <c r="R2468">
        <v>0</v>
      </c>
      <c r="S2468">
        <v>3</v>
      </c>
      <c r="T2468">
        <v>0</v>
      </c>
      <c r="U2468" s="1">
        <v>0</v>
      </c>
      <c r="V2468">
        <v>27.12</v>
      </c>
    </row>
    <row r="2469" spans="1:22" ht="15">
      <c r="A2469" s="4">
        <v>2462</v>
      </c>
      <c r="B2469">
        <v>2626</v>
      </c>
      <c r="C2469" t="s">
        <v>5332</v>
      </c>
      <c r="D2469" t="s">
        <v>14</v>
      </c>
      <c r="E2469" t="s">
        <v>59</v>
      </c>
      <c r="F2469" t="s">
        <v>5333</v>
      </c>
      <c r="G2469" t="str">
        <f>"00441744"</f>
        <v>00441744</v>
      </c>
      <c r="H2469">
        <v>24</v>
      </c>
      <c r="I2469">
        <v>0</v>
      </c>
      <c r="M2469">
        <v>0</v>
      </c>
      <c r="N2469">
        <v>0</v>
      </c>
      <c r="O2469">
        <v>0</v>
      </c>
      <c r="P2469">
        <v>24</v>
      </c>
      <c r="Q2469">
        <v>0</v>
      </c>
      <c r="R2469">
        <v>0</v>
      </c>
      <c r="S2469">
        <v>3</v>
      </c>
      <c r="T2469">
        <v>0</v>
      </c>
      <c r="U2469" s="1">
        <v>0</v>
      </c>
      <c r="V2469">
        <v>27</v>
      </c>
    </row>
    <row r="2470" spans="1:22" ht="15">
      <c r="A2470" s="4">
        <v>2463</v>
      </c>
      <c r="B2470">
        <v>2267</v>
      </c>
      <c r="C2470" t="s">
        <v>5334</v>
      </c>
      <c r="D2470" t="s">
        <v>5335</v>
      </c>
      <c r="E2470" t="s">
        <v>447</v>
      </c>
      <c r="F2470" t="s">
        <v>5336</v>
      </c>
      <c r="G2470" t="str">
        <f>"00533678"</f>
        <v>00533678</v>
      </c>
      <c r="H2470">
        <v>8.8</v>
      </c>
      <c r="I2470">
        <v>0</v>
      </c>
      <c r="M2470">
        <v>0</v>
      </c>
      <c r="N2470">
        <v>0</v>
      </c>
      <c r="O2470">
        <v>0</v>
      </c>
      <c r="P2470">
        <v>8.8</v>
      </c>
      <c r="Q2470">
        <v>18</v>
      </c>
      <c r="R2470">
        <v>18</v>
      </c>
      <c r="S2470">
        <v>0</v>
      </c>
      <c r="T2470">
        <v>0</v>
      </c>
      <c r="U2470" s="1">
        <v>0</v>
      </c>
      <c r="V2470">
        <v>26.8</v>
      </c>
    </row>
    <row r="2471" spans="1:22" ht="15">
      <c r="A2471" s="4">
        <v>2464</v>
      </c>
      <c r="B2471">
        <v>1876</v>
      </c>
      <c r="C2471" t="s">
        <v>5337</v>
      </c>
      <c r="D2471" t="s">
        <v>958</v>
      </c>
      <c r="E2471" t="s">
        <v>41</v>
      </c>
      <c r="F2471" t="s">
        <v>5338</v>
      </c>
      <c r="G2471" t="str">
        <f>"00518014"</f>
        <v>00518014</v>
      </c>
      <c r="H2471">
        <v>23.6</v>
      </c>
      <c r="I2471">
        <v>0</v>
      </c>
      <c r="M2471">
        <v>0</v>
      </c>
      <c r="N2471">
        <v>0</v>
      </c>
      <c r="O2471">
        <v>0</v>
      </c>
      <c r="P2471">
        <v>23.6</v>
      </c>
      <c r="Q2471">
        <v>0</v>
      </c>
      <c r="R2471">
        <v>0</v>
      </c>
      <c r="S2471">
        <v>3</v>
      </c>
      <c r="T2471">
        <v>0</v>
      </c>
      <c r="U2471" s="1">
        <v>0</v>
      </c>
      <c r="V2471">
        <v>26.6</v>
      </c>
    </row>
    <row r="2472" spans="1:22" ht="15">
      <c r="A2472" s="4">
        <v>2465</v>
      </c>
      <c r="B2472">
        <v>2443</v>
      </c>
      <c r="C2472" t="s">
        <v>5339</v>
      </c>
      <c r="D2472" t="s">
        <v>273</v>
      </c>
      <c r="E2472" t="s">
        <v>90</v>
      </c>
      <c r="F2472" t="s">
        <v>5340</v>
      </c>
      <c r="G2472" t="str">
        <f>"00531329"</f>
        <v>00531329</v>
      </c>
      <c r="H2472">
        <v>26.56</v>
      </c>
      <c r="I2472">
        <v>0</v>
      </c>
      <c r="M2472">
        <v>0</v>
      </c>
      <c r="N2472">
        <v>0</v>
      </c>
      <c r="O2472">
        <v>0</v>
      </c>
      <c r="P2472">
        <v>26.56</v>
      </c>
      <c r="Q2472">
        <v>0</v>
      </c>
      <c r="R2472">
        <v>0</v>
      </c>
      <c r="S2472">
        <v>0</v>
      </c>
      <c r="T2472">
        <v>0</v>
      </c>
      <c r="U2472" s="1">
        <v>0</v>
      </c>
      <c r="V2472">
        <v>26.56</v>
      </c>
    </row>
    <row r="2473" spans="1:22" ht="15">
      <c r="A2473" s="4">
        <v>2466</v>
      </c>
      <c r="B2473">
        <v>1598</v>
      </c>
      <c r="C2473" t="s">
        <v>5341</v>
      </c>
      <c r="D2473" t="s">
        <v>582</v>
      </c>
      <c r="E2473" t="s">
        <v>364</v>
      </c>
      <c r="F2473" t="s">
        <v>5342</v>
      </c>
      <c r="G2473" t="str">
        <f>"00529769"</f>
        <v>00529769</v>
      </c>
      <c r="H2473">
        <v>26.4</v>
      </c>
      <c r="I2473">
        <v>0</v>
      </c>
      <c r="M2473">
        <v>0</v>
      </c>
      <c r="N2473">
        <v>0</v>
      </c>
      <c r="O2473">
        <v>0</v>
      </c>
      <c r="P2473">
        <v>26.4</v>
      </c>
      <c r="Q2473">
        <v>0</v>
      </c>
      <c r="R2473">
        <v>0</v>
      </c>
      <c r="S2473">
        <v>0</v>
      </c>
      <c r="T2473">
        <v>0</v>
      </c>
      <c r="U2473" s="1">
        <v>0</v>
      </c>
      <c r="V2473">
        <v>26.4</v>
      </c>
    </row>
    <row r="2474" spans="1:22" ht="15">
      <c r="A2474" s="4">
        <v>2467</v>
      </c>
      <c r="B2474">
        <v>1433</v>
      </c>
      <c r="C2474" t="s">
        <v>5343</v>
      </c>
      <c r="D2474" t="s">
        <v>156</v>
      </c>
      <c r="E2474" t="s">
        <v>19</v>
      </c>
      <c r="F2474" t="s">
        <v>5344</v>
      </c>
      <c r="G2474" t="str">
        <f>"00529485"</f>
        <v>00529485</v>
      </c>
      <c r="H2474">
        <v>22.4</v>
      </c>
      <c r="I2474">
        <v>0</v>
      </c>
      <c r="M2474">
        <v>4</v>
      </c>
      <c r="N2474">
        <v>0</v>
      </c>
      <c r="O2474">
        <v>0</v>
      </c>
      <c r="P2474">
        <v>26.4</v>
      </c>
      <c r="Q2474">
        <v>0</v>
      </c>
      <c r="R2474">
        <v>0</v>
      </c>
      <c r="S2474">
        <v>0</v>
      </c>
      <c r="T2474">
        <v>0</v>
      </c>
      <c r="U2474" s="1">
        <v>0</v>
      </c>
      <c r="V2474">
        <v>26.4</v>
      </c>
    </row>
    <row r="2475" spans="1:22" ht="15">
      <c r="A2475" s="4">
        <v>2468</v>
      </c>
      <c r="B2475">
        <v>662</v>
      </c>
      <c r="C2475" t="s">
        <v>5345</v>
      </c>
      <c r="D2475" t="s">
        <v>72</v>
      </c>
      <c r="E2475" t="s">
        <v>73</v>
      </c>
      <c r="F2475" t="s">
        <v>5346</v>
      </c>
      <c r="G2475" t="str">
        <f>"00531752"</f>
        <v>00531752</v>
      </c>
      <c r="H2475">
        <v>14.4</v>
      </c>
      <c r="I2475">
        <v>10</v>
      </c>
      <c r="M2475">
        <v>0</v>
      </c>
      <c r="N2475">
        <v>0</v>
      </c>
      <c r="O2475">
        <v>2</v>
      </c>
      <c r="P2475">
        <v>26.4</v>
      </c>
      <c r="Q2475">
        <v>0</v>
      </c>
      <c r="R2475">
        <v>0</v>
      </c>
      <c r="S2475">
        <v>0</v>
      </c>
      <c r="T2475">
        <v>0</v>
      </c>
      <c r="U2475" s="1">
        <v>0</v>
      </c>
      <c r="V2475">
        <v>26.4</v>
      </c>
    </row>
    <row r="2476" spans="1:22" ht="15">
      <c r="A2476" s="4">
        <v>2469</v>
      </c>
      <c r="B2476">
        <v>2452</v>
      </c>
      <c r="C2476" t="s">
        <v>5347</v>
      </c>
      <c r="D2476" t="s">
        <v>102</v>
      </c>
      <c r="E2476" t="s">
        <v>403</v>
      </c>
      <c r="F2476" t="s">
        <v>5348</v>
      </c>
      <c r="G2476" t="str">
        <f>"00162589"</f>
        <v>00162589</v>
      </c>
      <c r="H2476">
        <v>22.28</v>
      </c>
      <c r="I2476">
        <v>0</v>
      </c>
      <c r="M2476">
        <v>4</v>
      </c>
      <c r="N2476">
        <v>0</v>
      </c>
      <c r="O2476">
        <v>0</v>
      </c>
      <c r="P2476">
        <v>26.28</v>
      </c>
      <c r="Q2476">
        <v>0</v>
      </c>
      <c r="R2476">
        <v>0</v>
      </c>
      <c r="S2476">
        <v>0</v>
      </c>
      <c r="T2476">
        <v>0</v>
      </c>
      <c r="U2476" s="1">
        <v>0</v>
      </c>
      <c r="V2476">
        <v>26.28</v>
      </c>
    </row>
    <row r="2477" spans="1:22" ht="15">
      <c r="A2477" s="4">
        <v>2470</v>
      </c>
      <c r="B2477">
        <v>34</v>
      </c>
      <c r="C2477" t="s">
        <v>5349</v>
      </c>
      <c r="D2477" t="s">
        <v>82</v>
      </c>
      <c r="E2477" t="s">
        <v>23</v>
      </c>
      <c r="F2477" t="s">
        <v>5350</v>
      </c>
      <c r="G2477" t="str">
        <f>"00474778"</f>
        <v>00474778</v>
      </c>
      <c r="H2477">
        <v>7.2</v>
      </c>
      <c r="I2477">
        <v>10</v>
      </c>
      <c r="M2477">
        <v>4</v>
      </c>
      <c r="N2477">
        <v>0</v>
      </c>
      <c r="O2477">
        <v>0</v>
      </c>
      <c r="P2477">
        <v>21.2</v>
      </c>
      <c r="Q2477">
        <v>5</v>
      </c>
      <c r="R2477">
        <v>5</v>
      </c>
      <c r="S2477">
        <v>0</v>
      </c>
      <c r="T2477">
        <v>0</v>
      </c>
      <c r="U2477" s="1">
        <v>0</v>
      </c>
      <c r="V2477">
        <v>26.2</v>
      </c>
    </row>
    <row r="2478" spans="1:22" ht="15">
      <c r="A2478" s="4">
        <v>2471</v>
      </c>
      <c r="B2478">
        <v>451</v>
      </c>
      <c r="C2478" t="s">
        <v>5351</v>
      </c>
      <c r="D2478" t="s">
        <v>477</v>
      </c>
      <c r="E2478" t="s">
        <v>385</v>
      </c>
      <c r="F2478" t="s">
        <v>5352</v>
      </c>
      <c r="G2478" t="str">
        <f>"201410009242"</f>
        <v>201410009242</v>
      </c>
      <c r="H2478">
        <v>20</v>
      </c>
      <c r="I2478">
        <v>0</v>
      </c>
      <c r="M2478">
        <v>0</v>
      </c>
      <c r="N2478">
        <v>0</v>
      </c>
      <c r="O2478">
        <v>0</v>
      </c>
      <c r="P2478">
        <v>20</v>
      </c>
      <c r="Q2478">
        <v>0</v>
      </c>
      <c r="R2478">
        <v>0</v>
      </c>
      <c r="S2478">
        <v>6</v>
      </c>
      <c r="T2478">
        <v>0</v>
      </c>
      <c r="U2478" s="1">
        <v>0</v>
      </c>
      <c r="V2478">
        <v>26</v>
      </c>
    </row>
    <row r="2479" spans="1:22" ht="15">
      <c r="A2479" s="4">
        <v>2472</v>
      </c>
      <c r="B2479">
        <v>3035</v>
      </c>
      <c r="C2479" t="s">
        <v>5353</v>
      </c>
      <c r="D2479" t="s">
        <v>29</v>
      </c>
      <c r="E2479" t="s">
        <v>15</v>
      </c>
      <c r="F2479" t="s">
        <v>5354</v>
      </c>
      <c r="G2479" t="str">
        <f>"201511021048"</f>
        <v>201511021048</v>
      </c>
      <c r="H2479">
        <v>13.8</v>
      </c>
      <c r="I2479">
        <v>0</v>
      </c>
      <c r="M2479">
        <v>4</v>
      </c>
      <c r="N2479">
        <v>0</v>
      </c>
      <c r="O2479">
        <v>0</v>
      </c>
      <c r="P2479">
        <v>17.8</v>
      </c>
      <c r="Q2479">
        <v>8</v>
      </c>
      <c r="R2479">
        <v>8</v>
      </c>
      <c r="S2479">
        <v>0</v>
      </c>
      <c r="T2479">
        <v>0</v>
      </c>
      <c r="U2479" s="1">
        <v>0</v>
      </c>
      <c r="V2479">
        <v>25.8</v>
      </c>
    </row>
    <row r="2480" spans="1:22" ht="15">
      <c r="A2480" s="4">
        <v>2473</v>
      </c>
      <c r="B2480">
        <v>732</v>
      </c>
      <c r="C2480" t="s">
        <v>5355</v>
      </c>
      <c r="D2480" t="s">
        <v>127</v>
      </c>
      <c r="E2480" t="s">
        <v>131</v>
      </c>
      <c r="F2480" t="s">
        <v>5356</v>
      </c>
      <c r="G2480" t="str">
        <f>"00525903"</f>
        <v>00525903</v>
      </c>
      <c r="H2480">
        <v>25.76</v>
      </c>
      <c r="I2480">
        <v>0</v>
      </c>
      <c r="M2480">
        <v>0</v>
      </c>
      <c r="N2480">
        <v>0</v>
      </c>
      <c r="O2480">
        <v>0</v>
      </c>
      <c r="P2480">
        <v>25.76</v>
      </c>
      <c r="Q2480">
        <v>0</v>
      </c>
      <c r="R2480">
        <v>0</v>
      </c>
      <c r="S2480">
        <v>0</v>
      </c>
      <c r="T2480">
        <v>0</v>
      </c>
      <c r="U2480" s="1">
        <v>0</v>
      </c>
      <c r="V2480">
        <v>25.76</v>
      </c>
    </row>
    <row r="2481" spans="1:22" ht="15">
      <c r="A2481" s="4">
        <v>2474</v>
      </c>
      <c r="B2481">
        <v>2375</v>
      </c>
      <c r="C2481" t="s">
        <v>5357</v>
      </c>
      <c r="D2481" t="s">
        <v>82</v>
      </c>
      <c r="E2481" t="s">
        <v>183</v>
      </c>
      <c r="F2481" t="s">
        <v>5358</v>
      </c>
      <c r="G2481" t="str">
        <f>"00532647"</f>
        <v>00532647</v>
      </c>
      <c r="H2481">
        <v>19.72</v>
      </c>
      <c r="I2481">
        <v>0</v>
      </c>
      <c r="M2481">
        <v>0</v>
      </c>
      <c r="N2481">
        <v>0</v>
      </c>
      <c r="O2481">
        <v>0</v>
      </c>
      <c r="P2481">
        <v>19.72</v>
      </c>
      <c r="Q2481">
        <v>0</v>
      </c>
      <c r="R2481">
        <v>0</v>
      </c>
      <c r="S2481">
        <v>6</v>
      </c>
      <c r="T2481">
        <v>0</v>
      </c>
      <c r="U2481" s="1">
        <v>0</v>
      </c>
      <c r="V2481">
        <v>25.72</v>
      </c>
    </row>
    <row r="2482" spans="1:22" ht="15">
      <c r="A2482" s="4">
        <v>2475</v>
      </c>
      <c r="B2482">
        <v>2735</v>
      </c>
      <c r="C2482" t="s">
        <v>5359</v>
      </c>
      <c r="D2482" t="s">
        <v>582</v>
      </c>
      <c r="E2482" t="s">
        <v>73</v>
      </c>
      <c r="F2482" t="s">
        <v>5360</v>
      </c>
      <c r="G2482" t="str">
        <f>"00533205"</f>
        <v>00533205</v>
      </c>
      <c r="H2482">
        <v>15.72</v>
      </c>
      <c r="I2482">
        <v>0</v>
      </c>
      <c r="M2482">
        <v>4</v>
      </c>
      <c r="N2482">
        <v>0</v>
      </c>
      <c r="O2482">
        <v>0</v>
      </c>
      <c r="P2482">
        <v>19.72</v>
      </c>
      <c r="Q2482">
        <v>0</v>
      </c>
      <c r="R2482">
        <v>0</v>
      </c>
      <c r="S2482">
        <v>6</v>
      </c>
      <c r="T2482">
        <v>0</v>
      </c>
      <c r="U2482" s="1">
        <v>0</v>
      </c>
      <c r="V2482">
        <v>25.72</v>
      </c>
    </row>
    <row r="2483" spans="1:22" ht="15">
      <c r="A2483" s="4">
        <v>2476</v>
      </c>
      <c r="B2483">
        <v>2618</v>
      </c>
      <c r="C2483" t="s">
        <v>5361</v>
      </c>
      <c r="D2483" t="s">
        <v>160</v>
      </c>
      <c r="E2483" t="s">
        <v>30</v>
      </c>
      <c r="F2483" t="s">
        <v>5362</v>
      </c>
      <c r="G2483" t="str">
        <f>"00533877"</f>
        <v>00533877</v>
      </c>
      <c r="H2483">
        <v>21.6</v>
      </c>
      <c r="I2483">
        <v>0</v>
      </c>
      <c r="M2483">
        <v>0</v>
      </c>
      <c r="N2483">
        <v>0</v>
      </c>
      <c r="O2483">
        <v>0</v>
      </c>
      <c r="P2483">
        <v>21.6</v>
      </c>
      <c r="Q2483">
        <v>4</v>
      </c>
      <c r="R2483">
        <v>4</v>
      </c>
      <c r="S2483">
        <v>0</v>
      </c>
      <c r="T2483">
        <v>0</v>
      </c>
      <c r="U2483" s="1">
        <v>0</v>
      </c>
      <c r="V2483">
        <v>25.6</v>
      </c>
    </row>
    <row r="2484" spans="1:22" ht="15">
      <c r="A2484" s="4">
        <v>2477</v>
      </c>
      <c r="B2484">
        <v>1104</v>
      </c>
      <c r="C2484" t="s">
        <v>5363</v>
      </c>
      <c r="D2484" t="s">
        <v>5364</v>
      </c>
      <c r="E2484" t="s">
        <v>5365</v>
      </c>
      <c r="F2484" t="s">
        <v>5366</v>
      </c>
      <c r="G2484" t="str">
        <f>"00531112"</f>
        <v>00531112</v>
      </c>
      <c r="H2484">
        <v>21.6</v>
      </c>
      <c r="I2484">
        <v>0</v>
      </c>
      <c r="M2484">
        <v>4</v>
      </c>
      <c r="N2484">
        <v>0</v>
      </c>
      <c r="O2484">
        <v>0</v>
      </c>
      <c r="P2484">
        <v>25.6</v>
      </c>
      <c r="Q2484">
        <v>0</v>
      </c>
      <c r="R2484">
        <v>0</v>
      </c>
      <c r="S2484">
        <v>0</v>
      </c>
      <c r="T2484">
        <v>0</v>
      </c>
      <c r="U2484" s="1">
        <v>0</v>
      </c>
      <c r="V2484">
        <v>25.6</v>
      </c>
    </row>
    <row r="2485" spans="1:22" ht="15">
      <c r="A2485" s="4">
        <v>2478</v>
      </c>
      <c r="B2485">
        <v>2727</v>
      </c>
      <c r="C2485" t="s">
        <v>718</v>
      </c>
      <c r="D2485" t="s">
        <v>89</v>
      </c>
      <c r="E2485" t="s">
        <v>83</v>
      </c>
      <c r="F2485" t="s">
        <v>5367</v>
      </c>
      <c r="G2485" t="str">
        <f>"00532752"</f>
        <v>00532752</v>
      </c>
      <c r="H2485">
        <v>21.6</v>
      </c>
      <c r="I2485">
        <v>0</v>
      </c>
      <c r="L2485">
        <v>4</v>
      </c>
      <c r="M2485">
        <v>0</v>
      </c>
      <c r="N2485">
        <v>4</v>
      </c>
      <c r="O2485">
        <v>0</v>
      </c>
      <c r="P2485">
        <v>25.6</v>
      </c>
      <c r="Q2485">
        <v>0</v>
      </c>
      <c r="R2485">
        <v>0</v>
      </c>
      <c r="S2485">
        <v>0</v>
      </c>
      <c r="T2485">
        <v>0</v>
      </c>
      <c r="U2485" s="1">
        <v>0</v>
      </c>
      <c r="V2485">
        <v>25.6</v>
      </c>
    </row>
    <row r="2486" spans="1:22" ht="15">
      <c r="A2486" s="4">
        <v>2479</v>
      </c>
      <c r="B2486">
        <v>1710</v>
      </c>
      <c r="C2486" t="s">
        <v>5368</v>
      </c>
      <c r="D2486" t="s">
        <v>121</v>
      </c>
      <c r="E2486" t="s">
        <v>225</v>
      </c>
      <c r="F2486" t="s">
        <v>5369</v>
      </c>
      <c r="G2486" t="str">
        <f>"00441545"</f>
        <v>00441545</v>
      </c>
      <c r="H2486">
        <v>21.6</v>
      </c>
      <c r="I2486">
        <v>0</v>
      </c>
      <c r="M2486">
        <v>4</v>
      </c>
      <c r="N2486">
        <v>0</v>
      </c>
      <c r="O2486">
        <v>0</v>
      </c>
      <c r="P2486">
        <v>25.6</v>
      </c>
      <c r="Q2486">
        <v>0</v>
      </c>
      <c r="R2486">
        <v>0</v>
      </c>
      <c r="S2486">
        <v>0</v>
      </c>
      <c r="T2486">
        <v>0</v>
      </c>
      <c r="U2486" s="1">
        <v>0</v>
      </c>
      <c r="V2486">
        <v>25.6</v>
      </c>
    </row>
    <row r="2487" spans="1:22" ht="15">
      <c r="A2487" s="4">
        <v>2480</v>
      </c>
      <c r="B2487">
        <v>3085</v>
      </c>
      <c r="C2487" t="s">
        <v>5370</v>
      </c>
      <c r="D2487" t="s">
        <v>5371</v>
      </c>
      <c r="E2487" t="s">
        <v>5372</v>
      </c>
      <c r="F2487" t="s">
        <v>5373</v>
      </c>
      <c r="G2487" t="str">
        <f>"00452459"</f>
        <v>00452459</v>
      </c>
      <c r="H2487">
        <v>21.6</v>
      </c>
      <c r="I2487">
        <v>0</v>
      </c>
      <c r="M2487">
        <v>4</v>
      </c>
      <c r="N2487">
        <v>0</v>
      </c>
      <c r="O2487">
        <v>0</v>
      </c>
      <c r="P2487">
        <v>25.6</v>
      </c>
      <c r="Q2487">
        <v>0</v>
      </c>
      <c r="R2487">
        <v>0</v>
      </c>
      <c r="S2487">
        <v>0</v>
      </c>
      <c r="T2487">
        <v>0</v>
      </c>
      <c r="U2487" s="1">
        <v>0</v>
      </c>
      <c r="V2487">
        <v>25.6</v>
      </c>
    </row>
    <row r="2488" spans="1:22" ht="15">
      <c r="A2488" s="4">
        <v>2481</v>
      </c>
      <c r="B2488">
        <v>2595</v>
      </c>
      <c r="C2488" t="s">
        <v>5374</v>
      </c>
      <c r="D2488" t="s">
        <v>493</v>
      </c>
      <c r="E2488" t="s">
        <v>197</v>
      </c>
      <c r="F2488" t="s">
        <v>5375</v>
      </c>
      <c r="G2488" t="str">
        <f>"00529547"</f>
        <v>00529547</v>
      </c>
      <c r="H2488">
        <v>21.6</v>
      </c>
      <c r="I2488">
        <v>0</v>
      </c>
      <c r="M2488">
        <v>4</v>
      </c>
      <c r="N2488">
        <v>0</v>
      </c>
      <c r="O2488">
        <v>0</v>
      </c>
      <c r="P2488">
        <v>25.6</v>
      </c>
      <c r="Q2488">
        <v>0</v>
      </c>
      <c r="R2488">
        <v>0</v>
      </c>
      <c r="S2488">
        <v>0</v>
      </c>
      <c r="T2488">
        <v>0</v>
      </c>
      <c r="U2488" s="1">
        <v>0</v>
      </c>
      <c r="V2488">
        <v>25.6</v>
      </c>
    </row>
    <row r="2489" spans="1:22" ht="15">
      <c r="A2489" s="4">
        <v>2482</v>
      </c>
      <c r="B2489">
        <v>78</v>
      </c>
      <c r="C2489" t="s">
        <v>5376</v>
      </c>
      <c r="D2489" t="s">
        <v>3505</v>
      </c>
      <c r="E2489" t="s">
        <v>3089</v>
      </c>
      <c r="F2489" t="s">
        <v>5377</v>
      </c>
      <c r="G2489" t="str">
        <f>"00477395"</f>
        <v>00477395</v>
      </c>
      <c r="H2489">
        <v>21.6</v>
      </c>
      <c r="I2489">
        <v>0</v>
      </c>
      <c r="M2489">
        <v>4</v>
      </c>
      <c r="N2489">
        <v>0</v>
      </c>
      <c r="O2489">
        <v>0</v>
      </c>
      <c r="P2489">
        <v>25.6</v>
      </c>
      <c r="Q2489">
        <v>0</v>
      </c>
      <c r="R2489">
        <v>0</v>
      </c>
      <c r="S2489">
        <v>0</v>
      </c>
      <c r="T2489">
        <v>0</v>
      </c>
      <c r="U2489" s="1">
        <v>0</v>
      </c>
      <c r="V2489">
        <v>25.6</v>
      </c>
    </row>
    <row r="2490" spans="1:22" ht="15">
      <c r="A2490" s="4">
        <v>2483</v>
      </c>
      <c r="B2490">
        <v>2269</v>
      </c>
      <c r="C2490" t="s">
        <v>5378</v>
      </c>
      <c r="D2490" t="s">
        <v>14</v>
      </c>
      <c r="E2490" t="s">
        <v>15</v>
      </c>
      <c r="F2490" t="s">
        <v>5379</v>
      </c>
      <c r="G2490" t="str">
        <f>"00530794"</f>
        <v>00530794</v>
      </c>
      <c r="H2490">
        <v>21.6</v>
      </c>
      <c r="I2490">
        <v>0</v>
      </c>
      <c r="M2490">
        <v>4</v>
      </c>
      <c r="N2490">
        <v>0</v>
      </c>
      <c r="O2490">
        <v>0</v>
      </c>
      <c r="P2490">
        <v>25.6</v>
      </c>
      <c r="Q2490">
        <v>0</v>
      </c>
      <c r="R2490">
        <v>0</v>
      </c>
      <c r="S2490">
        <v>0</v>
      </c>
      <c r="T2490">
        <v>0</v>
      </c>
      <c r="U2490" s="1">
        <v>0</v>
      </c>
      <c r="V2490">
        <v>25.6</v>
      </c>
    </row>
    <row r="2491" spans="1:22" ht="15">
      <c r="A2491" s="4">
        <v>2484</v>
      </c>
      <c r="B2491">
        <v>3241</v>
      </c>
      <c r="C2491" t="s">
        <v>5380</v>
      </c>
      <c r="D2491" t="s">
        <v>232</v>
      </c>
      <c r="E2491" t="s">
        <v>5381</v>
      </c>
      <c r="F2491" t="s">
        <v>5382</v>
      </c>
      <c r="G2491" t="str">
        <f>"00532696"</f>
        <v>00532696</v>
      </c>
      <c r="H2491">
        <v>21.6</v>
      </c>
      <c r="I2491">
        <v>0</v>
      </c>
      <c r="M2491">
        <v>4</v>
      </c>
      <c r="N2491">
        <v>0</v>
      </c>
      <c r="O2491">
        <v>0</v>
      </c>
      <c r="P2491">
        <v>25.6</v>
      </c>
      <c r="Q2491">
        <v>0</v>
      </c>
      <c r="R2491">
        <v>0</v>
      </c>
      <c r="S2491">
        <v>0</v>
      </c>
      <c r="T2491">
        <v>0</v>
      </c>
      <c r="U2491" s="1">
        <v>0</v>
      </c>
      <c r="V2491">
        <v>25.6</v>
      </c>
    </row>
    <row r="2492" spans="1:22" ht="15">
      <c r="A2492" s="4">
        <v>2485</v>
      </c>
      <c r="B2492">
        <v>3258</v>
      </c>
      <c r="C2492" t="s">
        <v>5383</v>
      </c>
      <c r="D2492" t="s">
        <v>1397</v>
      </c>
      <c r="E2492" t="s">
        <v>73</v>
      </c>
      <c r="F2492" t="s">
        <v>5384</v>
      </c>
      <c r="G2492" t="str">
        <f>"00490701"</f>
        <v>00490701</v>
      </c>
      <c r="H2492">
        <v>21.6</v>
      </c>
      <c r="I2492">
        <v>0</v>
      </c>
      <c r="M2492">
        <v>4</v>
      </c>
      <c r="N2492">
        <v>0</v>
      </c>
      <c r="O2492">
        <v>0</v>
      </c>
      <c r="P2492">
        <v>25.6</v>
      </c>
      <c r="Q2492">
        <v>0</v>
      </c>
      <c r="R2492">
        <v>0</v>
      </c>
      <c r="S2492">
        <v>0</v>
      </c>
      <c r="T2492">
        <v>0</v>
      </c>
      <c r="U2492" s="1">
        <v>0</v>
      </c>
      <c r="V2492">
        <v>25.6</v>
      </c>
    </row>
    <row r="2493" spans="1:22" ht="15">
      <c r="A2493" s="4">
        <v>2486</v>
      </c>
      <c r="B2493">
        <v>279</v>
      </c>
      <c r="C2493" t="s">
        <v>96</v>
      </c>
      <c r="D2493" t="s">
        <v>5385</v>
      </c>
      <c r="E2493" t="s">
        <v>30</v>
      </c>
      <c r="F2493" t="s">
        <v>5386</v>
      </c>
      <c r="G2493" t="str">
        <f>"00532311"</f>
        <v>00532311</v>
      </c>
      <c r="H2493">
        <v>21.6</v>
      </c>
      <c r="I2493">
        <v>0</v>
      </c>
      <c r="M2493">
        <v>4</v>
      </c>
      <c r="N2493">
        <v>0</v>
      </c>
      <c r="O2493">
        <v>0</v>
      </c>
      <c r="P2493">
        <v>25.6</v>
      </c>
      <c r="Q2493">
        <v>0</v>
      </c>
      <c r="R2493">
        <v>0</v>
      </c>
      <c r="S2493">
        <v>0</v>
      </c>
      <c r="T2493">
        <v>0</v>
      </c>
      <c r="U2493" s="1">
        <v>0</v>
      </c>
      <c r="V2493">
        <v>25.6</v>
      </c>
    </row>
    <row r="2494" spans="1:22" ht="15">
      <c r="A2494" s="4">
        <v>2487</v>
      </c>
      <c r="B2494">
        <v>1989</v>
      </c>
      <c r="C2494" t="s">
        <v>836</v>
      </c>
      <c r="D2494" t="s">
        <v>5387</v>
      </c>
      <c r="E2494" t="s">
        <v>11</v>
      </c>
      <c r="F2494" t="s">
        <v>5388</v>
      </c>
      <c r="G2494" t="str">
        <f>"00530776"</f>
        <v>00530776</v>
      </c>
      <c r="H2494">
        <v>21.6</v>
      </c>
      <c r="I2494">
        <v>0</v>
      </c>
      <c r="M2494">
        <v>4</v>
      </c>
      <c r="N2494">
        <v>0</v>
      </c>
      <c r="O2494">
        <v>0</v>
      </c>
      <c r="P2494">
        <v>25.6</v>
      </c>
      <c r="Q2494">
        <v>0</v>
      </c>
      <c r="R2494">
        <v>0</v>
      </c>
      <c r="S2494">
        <v>0</v>
      </c>
      <c r="T2494">
        <v>0</v>
      </c>
      <c r="U2494" s="1">
        <v>0</v>
      </c>
      <c r="V2494">
        <v>25.6</v>
      </c>
    </row>
    <row r="2495" spans="1:22" ht="15">
      <c r="A2495" s="4">
        <v>2488</v>
      </c>
      <c r="B2495">
        <v>325</v>
      </c>
      <c r="C2495" t="s">
        <v>96</v>
      </c>
      <c r="D2495" t="s">
        <v>5389</v>
      </c>
      <c r="E2495" t="s">
        <v>499</v>
      </c>
      <c r="F2495" t="s">
        <v>5390</v>
      </c>
      <c r="G2495" t="str">
        <f>"00531130"</f>
        <v>00531130</v>
      </c>
      <c r="H2495">
        <v>21.6</v>
      </c>
      <c r="I2495">
        <v>0</v>
      </c>
      <c r="M2495">
        <v>0</v>
      </c>
      <c r="N2495">
        <v>0</v>
      </c>
      <c r="O2495">
        <v>0</v>
      </c>
      <c r="P2495">
        <v>21.6</v>
      </c>
      <c r="Q2495">
        <v>4</v>
      </c>
      <c r="R2495">
        <v>4</v>
      </c>
      <c r="S2495">
        <v>0</v>
      </c>
      <c r="T2495">
        <v>0</v>
      </c>
      <c r="U2495" s="1">
        <v>0</v>
      </c>
      <c r="V2495">
        <v>25.6</v>
      </c>
    </row>
    <row r="2496" spans="1:22" ht="15">
      <c r="A2496" s="4">
        <v>2489</v>
      </c>
      <c r="B2496">
        <v>1886</v>
      </c>
      <c r="C2496" t="s">
        <v>5391</v>
      </c>
      <c r="D2496" t="s">
        <v>222</v>
      </c>
      <c r="E2496" t="s">
        <v>2765</v>
      </c>
      <c r="F2496" t="s">
        <v>5392</v>
      </c>
      <c r="G2496" t="str">
        <f>"00514229"</f>
        <v>00514229</v>
      </c>
      <c r="H2496">
        <v>21.6</v>
      </c>
      <c r="I2496">
        <v>0</v>
      </c>
      <c r="L2496">
        <v>4</v>
      </c>
      <c r="M2496">
        <v>0</v>
      </c>
      <c r="N2496">
        <v>4</v>
      </c>
      <c r="O2496">
        <v>0</v>
      </c>
      <c r="P2496">
        <v>25.6</v>
      </c>
      <c r="Q2496">
        <v>0</v>
      </c>
      <c r="R2496">
        <v>0</v>
      </c>
      <c r="S2496">
        <v>0</v>
      </c>
      <c r="T2496">
        <v>0</v>
      </c>
      <c r="U2496" s="1">
        <v>0</v>
      </c>
      <c r="V2496">
        <v>25.6</v>
      </c>
    </row>
    <row r="2497" spans="1:22" ht="15">
      <c r="A2497" s="4">
        <v>2490</v>
      </c>
      <c r="B2497">
        <v>3406</v>
      </c>
      <c r="C2497" t="s">
        <v>3218</v>
      </c>
      <c r="D2497" t="s">
        <v>29</v>
      </c>
      <c r="E2497" t="s">
        <v>90</v>
      </c>
      <c r="F2497" t="s">
        <v>5393</v>
      </c>
      <c r="G2497" t="str">
        <f>"00530979"</f>
        <v>00530979</v>
      </c>
      <c r="H2497">
        <v>21.6</v>
      </c>
      <c r="I2497">
        <v>0</v>
      </c>
      <c r="M2497">
        <v>4</v>
      </c>
      <c r="N2497">
        <v>0</v>
      </c>
      <c r="O2497">
        <v>0</v>
      </c>
      <c r="P2497">
        <v>25.6</v>
      </c>
      <c r="Q2497">
        <v>0</v>
      </c>
      <c r="R2497">
        <v>0</v>
      </c>
      <c r="S2497">
        <v>0</v>
      </c>
      <c r="T2497">
        <v>0</v>
      </c>
      <c r="U2497" s="1">
        <v>0</v>
      </c>
      <c r="V2497">
        <v>25.6</v>
      </c>
    </row>
    <row r="2498" spans="1:22" ht="15">
      <c r="A2498" s="4">
        <v>2491</v>
      </c>
      <c r="B2498">
        <v>617</v>
      </c>
      <c r="C2498" t="s">
        <v>5394</v>
      </c>
      <c r="D2498" t="s">
        <v>26</v>
      </c>
      <c r="E2498" t="s">
        <v>15</v>
      </c>
      <c r="F2498" t="s">
        <v>5395</v>
      </c>
      <c r="G2498" t="str">
        <f>"00214670"</f>
        <v>00214670</v>
      </c>
      <c r="H2498">
        <v>21.6</v>
      </c>
      <c r="I2498">
        <v>0</v>
      </c>
      <c r="M2498">
        <v>4</v>
      </c>
      <c r="N2498">
        <v>0</v>
      </c>
      <c r="O2498">
        <v>0</v>
      </c>
      <c r="P2498">
        <v>25.6</v>
      </c>
      <c r="Q2498">
        <v>0</v>
      </c>
      <c r="R2498">
        <v>0</v>
      </c>
      <c r="S2498">
        <v>0</v>
      </c>
      <c r="T2498">
        <v>0</v>
      </c>
      <c r="U2498" s="1">
        <v>0</v>
      </c>
      <c r="V2498">
        <v>25.6</v>
      </c>
    </row>
    <row r="2499" spans="1:22" ht="15">
      <c r="A2499" s="4">
        <v>2492</v>
      </c>
      <c r="B2499">
        <v>2900</v>
      </c>
      <c r="C2499" t="s">
        <v>5396</v>
      </c>
      <c r="D2499" t="s">
        <v>76</v>
      </c>
      <c r="E2499" t="s">
        <v>11</v>
      </c>
      <c r="F2499" t="s">
        <v>5397</v>
      </c>
      <c r="G2499" t="str">
        <f>"00530073"</f>
        <v>00530073</v>
      </c>
      <c r="H2499">
        <v>21.6</v>
      </c>
      <c r="I2499">
        <v>0</v>
      </c>
      <c r="M2499">
        <v>4</v>
      </c>
      <c r="N2499">
        <v>0</v>
      </c>
      <c r="O2499">
        <v>0</v>
      </c>
      <c r="P2499">
        <v>25.6</v>
      </c>
      <c r="Q2499">
        <v>0</v>
      </c>
      <c r="R2499">
        <v>0</v>
      </c>
      <c r="S2499">
        <v>0</v>
      </c>
      <c r="T2499">
        <v>0</v>
      </c>
      <c r="U2499" s="1">
        <v>0</v>
      </c>
      <c r="V2499">
        <v>25.6</v>
      </c>
    </row>
    <row r="2500" spans="1:22" ht="15">
      <c r="A2500" s="4">
        <v>2493</v>
      </c>
      <c r="B2500">
        <v>3412</v>
      </c>
      <c r="C2500" t="s">
        <v>3751</v>
      </c>
      <c r="D2500" t="s">
        <v>5398</v>
      </c>
      <c r="E2500" t="s">
        <v>317</v>
      </c>
      <c r="F2500" t="s">
        <v>5399</v>
      </c>
      <c r="G2500" t="str">
        <f>"00533846"</f>
        <v>00533846</v>
      </c>
      <c r="H2500">
        <v>21.6</v>
      </c>
      <c r="I2500">
        <v>0</v>
      </c>
      <c r="M2500">
        <v>4</v>
      </c>
      <c r="N2500">
        <v>0</v>
      </c>
      <c r="O2500">
        <v>0</v>
      </c>
      <c r="P2500">
        <v>25.6</v>
      </c>
      <c r="Q2500">
        <v>0</v>
      </c>
      <c r="R2500">
        <v>0</v>
      </c>
      <c r="S2500">
        <v>0</v>
      </c>
      <c r="T2500">
        <v>0</v>
      </c>
      <c r="U2500" s="1">
        <v>0</v>
      </c>
      <c r="V2500">
        <v>25.6</v>
      </c>
    </row>
    <row r="2501" spans="1:22" ht="15">
      <c r="A2501" s="4">
        <v>2494</v>
      </c>
      <c r="B2501">
        <v>2369</v>
      </c>
      <c r="C2501" t="s">
        <v>5400</v>
      </c>
      <c r="D2501" t="s">
        <v>189</v>
      </c>
      <c r="E2501" t="s">
        <v>83</v>
      </c>
      <c r="F2501" t="s">
        <v>5401</v>
      </c>
      <c r="G2501" t="str">
        <f>"00531069"</f>
        <v>00531069</v>
      </c>
      <c r="H2501">
        <v>21.6</v>
      </c>
      <c r="I2501">
        <v>0</v>
      </c>
      <c r="M2501">
        <v>4</v>
      </c>
      <c r="N2501">
        <v>0</v>
      </c>
      <c r="O2501">
        <v>0</v>
      </c>
      <c r="P2501">
        <v>25.6</v>
      </c>
      <c r="Q2501">
        <v>0</v>
      </c>
      <c r="R2501">
        <v>0</v>
      </c>
      <c r="S2501">
        <v>0</v>
      </c>
      <c r="T2501">
        <v>0</v>
      </c>
      <c r="U2501" s="1">
        <v>0</v>
      </c>
      <c r="V2501">
        <v>25.6</v>
      </c>
    </row>
    <row r="2502" spans="1:22" ht="15">
      <c r="A2502" s="4">
        <v>2495</v>
      </c>
      <c r="B2502">
        <v>1771</v>
      </c>
      <c r="C2502" t="s">
        <v>5402</v>
      </c>
      <c r="D2502" t="s">
        <v>76</v>
      </c>
      <c r="E2502" t="s">
        <v>23</v>
      </c>
      <c r="F2502" t="s">
        <v>5403</v>
      </c>
      <c r="G2502" t="str">
        <f>"00507538"</f>
        <v>00507538</v>
      </c>
      <c r="H2502">
        <v>21.6</v>
      </c>
      <c r="I2502">
        <v>0</v>
      </c>
      <c r="M2502">
        <v>0</v>
      </c>
      <c r="N2502">
        <v>0</v>
      </c>
      <c r="O2502">
        <v>0</v>
      </c>
      <c r="P2502">
        <v>21.6</v>
      </c>
      <c r="Q2502">
        <v>4</v>
      </c>
      <c r="R2502">
        <v>4</v>
      </c>
      <c r="S2502">
        <v>0</v>
      </c>
      <c r="T2502">
        <v>0</v>
      </c>
      <c r="U2502" s="1">
        <v>0</v>
      </c>
      <c r="V2502">
        <v>25.6</v>
      </c>
    </row>
    <row r="2503" spans="1:22" ht="15">
      <c r="A2503" s="4">
        <v>2496</v>
      </c>
      <c r="B2503">
        <v>1739</v>
      </c>
      <c r="C2503" t="s">
        <v>5404</v>
      </c>
      <c r="D2503" t="s">
        <v>14</v>
      </c>
      <c r="E2503" t="s">
        <v>59</v>
      </c>
      <c r="F2503" t="s">
        <v>5405</v>
      </c>
      <c r="G2503" t="str">
        <f>"00505590"</f>
        <v>00505590</v>
      </c>
      <c r="H2503">
        <v>21.6</v>
      </c>
      <c r="I2503">
        <v>0</v>
      </c>
      <c r="M2503">
        <v>4</v>
      </c>
      <c r="N2503">
        <v>0</v>
      </c>
      <c r="O2503">
        <v>0</v>
      </c>
      <c r="P2503">
        <v>25.6</v>
      </c>
      <c r="Q2503">
        <v>0</v>
      </c>
      <c r="R2503">
        <v>0</v>
      </c>
      <c r="S2503">
        <v>0</v>
      </c>
      <c r="T2503">
        <v>0</v>
      </c>
      <c r="U2503" s="1">
        <v>0</v>
      </c>
      <c r="V2503">
        <v>25.6</v>
      </c>
    </row>
    <row r="2504" spans="1:22" ht="15">
      <c r="A2504" s="4">
        <v>2497</v>
      </c>
      <c r="B2504">
        <v>2042</v>
      </c>
      <c r="C2504" t="s">
        <v>5406</v>
      </c>
      <c r="D2504" t="s">
        <v>1378</v>
      </c>
      <c r="E2504" t="s">
        <v>15</v>
      </c>
      <c r="F2504" t="s">
        <v>5407</v>
      </c>
      <c r="G2504" t="str">
        <f>"00357683"</f>
        <v>00357683</v>
      </c>
      <c r="H2504">
        <v>21.6</v>
      </c>
      <c r="I2504">
        <v>0</v>
      </c>
      <c r="L2504">
        <v>4</v>
      </c>
      <c r="M2504">
        <v>0</v>
      </c>
      <c r="N2504">
        <v>4</v>
      </c>
      <c r="O2504">
        <v>0</v>
      </c>
      <c r="P2504">
        <v>25.6</v>
      </c>
      <c r="Q2504">
        <v>0</v>
      </c>
      <c r="R2504">
        <v>0</v>
      </c>
      <c r="S2504">
        <v>0</v>
      </c>
      <c r="T2504">
        <v>0</v>
      </c>
      <c r="U2504" s="1">
        <v>0</v>
      </c>
      <c r="V2504">
        <v>25.6</v>
      </c>
    </row>
    <row r="2505" spans="1:22" ht="15">
      <c r="A2505" s="4">
        <v>2498</v>
      </c>
      <c r="B2505">
        <v>2227</v>
      </c>
      <c r="C2505" t="s">
        <v>5408</v>
      </c>
      <c r="D2505" t="s">
        <v>68</v>
      </c>
      <c r="E2505" t="s">
        <v>99</v>
      </c>
      <c r="F2505" t="s">
        <v>5409</v>
      </c>
      <c r="G2505" t="str">
        <f>"00531758"</f>
        <v>00531758</v>
      </c>
      <c r="H2505">
        <v>21.6</v>
      </c>
      <c r="I2505">
        <v>0</v>
      </c>
      <c r="L2505">
        <v>4</v>
      </c>
      <c r="M2505">
        <v>0</v>
      </c>
      <c r="N2505">
        <v>4</v>
      </c>
      <c r="O2505">
        <v>0</v>
      </c>
      <c r="P2505">
        <v>25.6</v>
      </c>
      <c r="Q2505">
        <v>0</v>
      </c>
      <c r="R2505">
        <v>0</v>
      </c>
      <c r="S2505">
        <v>0</v>
      </c>
      <c r="T2505">
        <v>0</v>
      </c>
      <c r="U2505" s="1">
        <v>0</v>
      </c>
      <c r="V2505">
        <v>25.6</v>
      </c>
    </row>
    <row r="2506" spans="1:22" ht="15">
      <c r="A2506" s="4">
        <v>2499</v>
      </c>
      <c r="B2506">
        <v>1339</v>
      </c>
      <c r="C2506" t="s">
        <v>1150</v>
      </c>
      <c r="D2506" t="s">
        <v>1202</v>
      </c>
      <c r="E2506" t="s">
        <v>403</v>
      </c>
      <c r="F2506" t="s">
        <v>5410</v>
      </c>
      <c r="G2506" t="str">
        <f>"00507678"</f>
        <v>00507678</v>
      </c>
      <c r="H2506">
        <v>15.48</v>
      </c>
      <c r="I2506">
        <v>0</v>
      </c>
      <c r="M2506">
        <v>4</v>
      </c>
      <c r="N2506">
        <v>0</v>
      </c>
      <c r="O2506">
        <v>0</v>
      </c>
      <c r="P2506">
        <v>19.48</v>
      </c>
      <c r="Q2506">
        <v>0</v>
      </c>
      <c r="R2506">
        <v>0</v>
      </c>
      <c r="S2506">
        <v>6</v>
      </c>
      <c r="T2506">
        <v>0</v>
      </c>
      <c r="U2506" s="1">
        <v>0</v>
      </c>
      <c r="V2506">
        <v>25.48</v>
      </c>
    </row>
    <row r="2507" spans="1:22" ht="15">
      <c r="A2507" s="4">
        <v>2500</v>
      </c>
      <c r="B2507">
        <v>262</v>
      </c>
      <c r="C2507" t="s">
        <v>5411</v>
      </c>
      <c r="D2507" t="s">
        <v>68</v>
      </c>
      <c r="E2507" t="s">
        <v>317</v>
      </c>
      <c r="F2507" t="s">
        <v>5412</v>
      </c>
      <c r="G2507" t="str">
        <f>"00530669"</f>
        <v>00530669</v>
      </c>
      <c r="H2507">
        <v>22.48</v>
      </c>
      <c r="I2507">
        <v>0</v>
      </c>
      <c r="M2507">
        <v>0</v>
      </c>
      <c r="N2507">
        <v>0</v>
      </c>
      <c r="O2507">
        <v>0</v>
      </c>
      <c r="P2507">
        <v>22.48</v>
      </c>
      <c r="Q2507">
        <v>0</v>
      </c>
      <c r="R2507">
        <v>0</v>
      </c>
      <c r="S2507">
        <v>3</v>
      </c>
      <c r="T2507">
        <v>0</v>
      </c>
      <c r="U2507" s="1">
        <v>0</v>
      </c>
      <c r="V2507">
        <v>25.48</v>
      </c>
    </row>
    <row r="2508" spans="1:22" ht="15">
      <c r="A2508" s="4">
        <v>2501</v>
      </c>
      <c r="B2508">
        <v>3034</v>
      </c>
      <c r="C2508" t="s">
        <v>5413</v>
      </c>
      <c r="D2508" t="s">
        <v>121</v>
      </c>
      <c r="E2508" t="s">
        <v>83</v>
      </c>
      <c r="F2508" t="s">
        <v>5414</v>
      </c>
      <c r="G2508" t="str">
        <f>"00511802"</f>
        <v>00511802</v>
      </c>
      <c r="H2508">
        <v>18.48</v>
      </c>
      <c r="I2508">
        <v>0</v>
      </c>
      <c r="M2508">
        <v>4</v>
      </c>
      <c r="N2508">
        <v>0</v>
      </c>
      <c r="O2508">
        <v>0</v>
      </c>
      <c r="P2508">
        <v>22.48</v>
      </c>
      <c r="Q2508">
        <v>3</v>
      </c>
      <c r="R2508">
        <v>3</v>
      </c>
      <c r="S2508">
        <v>0</v>
      </c>
      <c r="T2508">
        <v>0</v>
      </c>
      <c r="U2508" s="1">
        <v>0</v>
      </c>
      <c r="V2508">
        <v>25.48</v>
      </c>
    </row>
    <row r="2509" spans="1:22" ht="15">
      <c r="A2509" s="4">
        <v>2502</v>
      </c>
      <c r="B2509">
        <v>2444</v>
      </c>
      <c r="C2509" t="s">
        <v>5415</v>
      </c>
      <c r="D2509" t="s">
        <v>55</v>
      </c>
      <c r="E2509" t="s">
        <v>73</v>
      </c>
      <c r="F2509" t="s">
        <v>5416</v>
      </c>
      <c r="G2509" t="str">
        <f>"00484335"</f>
        <v>00484335</v>
      </c>
      <c r="H2509">
        <v>25.44</v>
      </c>
      <c r="I2509">
        <v>0</v>
      </c>
      <c r="M2509">
        <v>0</v>
      </c>
      <c r="N2509">
        <v>0</v>
      </c>
      <c r="O2509">
        <v>0</v>
      </c>
      <c r="P2509">
        <v>25.44</v>
      </c>
      <c r="Q2509">
        <v>0</v>
      </c>
      <c r="R2509">
        <v>0</v>
      </c>
      <c r="S2509">
        <v>0</v>
      </c>
      <c r="T2509">
        <v>0</v>
      </c>
      <c r="U2509" s="1">
        <v>0</v>
      </c>
      <c r="V2509">
        <v>25.44</v>
      </c>
    </row>
    <row r="2510" spans="1:22" ht="15">
      <c r="A2510" s="4">
        <v>2503</v>
      </c>
      <c r="B2510">
        <v>1218</v>
      </c>
      <c r="C2510" t="s">
        <v>5343</v>
      </c>
      <c r="D2510" t="s">
        <v>127</v>
      </c>
      <c r="E2510" t="s">
        <v>11</v>
      </c>
      <c r="F2510" t="s">
        <v>5417</v>
      </c>
      <c r="G2510" t="str">
        <f>"00531249"</f>
        <v>00531249</v>
      </c>
      <c r="H2510">
        <v>22.4</v>
      </c>
      <c r="I2510">
        <v>0</v>
      </c>
      <c r="M2510">
        <v>0</v>
      </c>
      <c r="N2510">
        <v>0</v>
      </c>
      <c r="O2510">
        <v>0</v>
      </c>
      <c r="P2510">
        <v>22.4</v>
      </c>
      <c r="Q2510">
        <v>0</v>
      </c>
      <c r="R2510">
        <v>0</v>
      </c>
      <c r="S2510">
        <v>3</v>
      </c>
      <c r="T2510">
        <v>0</v>
      </c>
      <c r="U2510" s="1">
        <v>0</v>
      </c>
      <c r="V2510">
        <v>25.4</v>
      </c>
    </row>
    <row r="2511" spans="1:22" ht="15">
      <c r="A2511" s="4">
        <v>2504</v>
      </c>
      <c r="B2511">
        <v>2688</v>
      </c>
      <c r="C2511" t="s">
        <v>5418</v>
      </c>
      <c r="D2511" t="s">
        <v>14</v>
      </c>
      <c r="E2511" t="s">
        <v>19</v>
      </c>
      <c r="F2511" t="s">
        <v>5419</v>
      </c>
      <c r="G2511" t="str">
        <f>"00484204"</f>
        <v>00484204</v>
      </c>
      <c r="H2511">
        <v>14.4</v>
      </c>
      <c r="I2511">
        <v>0</v>
      </c>
      <c r="M2511">
        <v>4</v>
      </c>
      <c r="N2511">
        <v>0</v>
      </c>
      <c r="O2511">
        <v>0</v>
      </c>
      <c r="P2511">
        <v>18.4</v>
      </c>
      <c r="Q2511">
        <v>4</v>
      </c>
      <c r="R2511">
        <v>4</v>
      </c>
      <c r="S2511">
        <v>3</v>
      </c>
      <c r="T2511">
        <v>0</v>
      </c>
      <c r="U2511" s="1">
        <v>0</v>
      </c>
      <c r="V2511">
        <v>25.4</v>
      </c>
    </row>
    <row r="2512" spans="1:22" ht="15">
      <c r="A2512" s="4">
        <v>2505</v>
      </c>
      <c r="B2512">
        <v>747</v>
      </c>
      <c r="C2512" t="s">
        <v>5420</v>
      </c>
      <c r="D2512" t="s">
        <v>582</v>
      </c>
      <c r="E2512" t="s">
        <v>51</v>
      </c>
      <c r="F2512" t="s">
        <v>5421</v>
      </c>
      <c r="G2512" t="str">
        <f>"200909000302"</f>
        <v>200909000302</v>
      </c>
      <c r="H2512">
        <v>14.4</v>
      </c>
      <c r="I2512">
        <v>0</v>
      </c>
      <c r="J2512">
        <v>8</v>
      </c>
      <c r="M2512">
        <v>0</v>
      </c>
      <c r="N2512">
        <v>8</v>
      </c>
      <c r="O2512">
        <v>0</v>
      </c>
      <c r="P2512">
        <v>22.4</v>
      </c>
      <c r="Q2512">
        <v>0</v>
      </c>
      <c r="R2512">
        <v>0</v>
      </c>
      <c r="S2512">
        <v>3</v>
      </c>
      <c r="T2512">
        <v>0</v>
      </c>
      <c r="U2512" s="1">
        <v>0</v>
      </c>
      <c r="V2512">
        <v>25.4</v>
      </c>
    </row>
    <row r="2513" spans="1:22" ht="15">
      <c r="A2513" s="4">
        <v>2506</v>
      </c>
      <c r="B2513">
        <v>373</v>
      </c>
      <c r="C2513" t="s">
        <v>5422</v>
      </c>
      <c r="D2513" t="s">
        <v>89</v>
      </c>
      <c r="E2513" t="s">
        <v>1180</v>
      </c>
      <c r="F2513" t="s">
        <v>5423</v>
      </c>
      <c r="G2513" t="str">
        <f>"00442011"</f>
        <v>00442011</v>
      </c>
      <c r="H2513">
        <v>14.4</v>
      </c>
      <c r="I2513">
        <v>0</v>
      </c>
      <c r="L2513">
        <v>4</v>
      </c>
      <c r="M2513">
        <v>4</v>
      </c>
      <c r="N2513">
        <v>4</v>
      </c>
      <c r="O2513">
        <v>0</v>
      </c>
      <c r="P2513">
        <v>22.4</v>
      </c>
      <c r="Q2513">
        <v>0</v>
      </c>
      <c r="R2513">
        <v>0</v>
      </c>
      <c r="S2513">
        <v>3</v>
      </c>
      <c r="T2513">
        <v>0</v>
      </c>
      <c r="U2513" s="1">
        <v>0</v>
      </c>
      <c r="V2513">
        <v>25.4</v>
      </c>
    </row>
    <row r="2514" spans="1:22" ht="15">
      <c r="A2514" s="4">
        <v>2507</v>
      </c>
      <c r="B2514">
        <v>2391</v>
      </c>
      <c r="C2514" t="s">
        <v>5424</v>
      </c>
      <c r="D2514" t="s">
        <v>14</v>
      </c>
      <c r="E2514" t="s">
        <v>1007</v>
      </c>
      <c r="F2514" t="s">
        <v>5425</v>
      </c>
      <c r="G2514" t="str">
        <f>"00533022"</f>
        <v>00533022</v>
      </c>
      <c r="H2514">
        <v>14.4</v>
      </c>
      <c r="I2514">
        <v>0</v>
      </c>
      <c r="L2514">
        <v>4</v>
      </c>
      <c r="M2514">
        <v>4</v>
      </c>
      <c r="N2514">
        <v>4</v>
      </c>
      <c r="O2514">
        <v>0</v>
      </c>
      <c r="P2514">
        <v>22.4</v>
      </c>
      <c r="Q2514">
        <v>0</v>
      </c>
      <c r="R2514">
        <v>0</v>
      </c>
      <c r="S2514">
        <v>3</v>
      </c>
      <c r="T2514">
        <v>0</v>
      </c>
      <c r="U2514" s="1">
        <v>0</v>
      </c>
      <c r="V2514">
        <v>25.4</v>
      </c>
    </row>
    <row r="2515" spans="1:22" ht="15">
      <c r="A2515" s="4">
        <v>2508</v>
      </c>
      <c r="B2515">
        <v>2234</v>
      </c>
      <c r="C2515" t="s">
        <v>1591</v>
      </c>
      <c r="D2515" t="s">
        <v>137</v>
      </c>
      <c r="E2515" t="s">
        <v>403</v>
      </c>
      <c r="F2515" t="s">
        <v>5426</v>
      </c>
      <c r="G2515" t="str">
        <f>"201410012515"</f>
        <v>201410012515</v>
      </c>
      <c r="H2515">
        <v>12.36</v>
      </c>
      <c r="I2515">
        <v>10</v>
      </c>
      <c r="M2515">
        <v>0</v>
      </c>
      <c r="N2515">
        <v>0</v>
      </c>
      <c r="O2515">
        <v>0</v>
      </c>
      <c r="P2515">
        <v>22.36</v>
      </c>
      <c r="Q2515">
        <v>0</v>
      </c>
      <c r="R2515">
        <v>0</v>
      </c>
      <c r="S2515">
        <v>3</v>
      </c>
      <c r="T2515">
        <v>0</v>
      </c>
      <c r="U2515" s="1">
        <v>0</v>
      </c>
      <c r="V2515">
        <v>25.36</v>
      </c>
    </row>
    <row r="2516" spans="1:22" ht="15">
      <c r="A2516" s="4">
        <v>2509</v>
      </c>
      <c r="B2516">
        <v>2180</v>
      </c>
      <c r="C2516" t="s">
        <v>5427</v>
      </c>
      <c r="D2516" t="s">
        <v>211</v>
      </c>
      <c r="E2516" t="s">
        <v>344</v>
      </c>
      <c r="F2516" t="s">
        <v>5428</v>
      </c>
      <c r="G2516" t="str">
        <f>"00518266"</f>
        <v>00518266</v>
      </c>
      <c r="H2516">
        <v>19.32</v>
      </c>
      <c r="I2516">
        <v>0</v>
      </c>
      <c r="M2516">
        <v>0</v>
      </c>
      <c r="N2516">
        <v>0</v>
      </c>
      <c r="O2516">
        <v>0</v>
      </c>
      <c r="P2516">
        <v>19.32</v>
      </c>
      <c r="Q2516">
        <v>0</v>
      </c>
      <c r="R2516">
        <v>0</v>
      </c>
      <c r="S2516">
        <v>6</v>
      </c>
      <c r="T2516">
        <v>0</v>
      </c>
      <c r="U2516" s="1">
        <v>0</v>
      </c>
      <c r="V2516">
        <v>25.32</v>
      </c>
    </row>
    <row r="2517" spans="1:22" ht="15">
      <c r="A2517" s="4">
        <v>2510</v>
      </c>
      <c r="B2517">
        <v>855</v>
      </c>
      <c r="C2517" t="s">
        <v>3376</v>
      </c>
      <c r="D2517" t="s">
        <v>4482</v>
      </c>
      <c r="E2517" t="s">
        <v>11</v>
      </c>
      <c r="F2517" t="s">
        <v>5429</v>
      </c>
      <c r="G2517" t="str">
        <f>"00129253"</f>
        <v>00129253</v>
      </c>
      <c r="H2517">
        <v>18.28</v>
      </c>
      <c r="I2517">
        <v>0</v>
      </c>
      <c r="M2517">
        <v>4</v>
      </c>
      <c r="N2517">
        <v>0</v>
      </c>
      <c r="O2517">
        <v>0</v>
      </c>
      <c r="P2517">
        <v>22.28</v>
      </c>
      <c r="Q2517">
        <v>0</v>
      </c>
      <c r="R2517">
        <v>0</v>
      </c>
      <c r="S2517">
        <v>3</v>
      </c>
      <c r="T2517">
        <v>0</v>
      </c>
      <c r="U2517" s="1">
        <v>0</v>
      </c>
      <c r="V2517">
        <v>25.28</v>
      </c>
    </row>
    <row r="2518" spans="1:22" ht="15">
      <c r="A2518" s="4">
        <v>2511</v>
      </c>
      <c r="B2518">
        <v>2678</v>
      </c>
      <c r="C2518" t="s">
        <v>5430</v>
      </c>
      <c r="D2518" t="s">
        <v>5431</v>
      </c>
      <c r="E2518" t="s">
        <v>197</v>
      </c>
      <c r="F2518" t="s">
        <v>5432</v>
      </c>
      <c r="G2518" t="str">
        <f>"00514036"</f>
        <v>00514036</v>
      </c>
      <c r="H2518">
        <v>23.28</v>
      </c>
      <c r="I2518">
        <v>0</v>
      </c>
      <c r="M2518">
        <v>0</v>
      </c>
      <c r="N2518">
        <v>0</v>
      </c>
      <c r="O2518">
        <v>2</v>
      </c>
      <c r="P2518">
        <v>25.28</v>
      </c>
      <c r="Q2518">
        <v>0</v>
      </c>
      <c r="R2518">
        <v>0</v>
      </c>
      <c r="S2518">
        <v>0</v>
      </c>
      <c r="T2518">
        <v>0</v>
      </c>
      <c r="U2518" s="1">
        <v>0</v>
      </c>
      <c r="V2518">
        <v>25.28</v>
      </c>
    </row>
    <row r="2519" spans="1:22" ht="15">
      <c r="A2519" s="4">
        <v>2512</v>
      </c>
      <c r="B2519">
        <v>446</v>
      </c>
      <c r="C2519" t="s">
        <v>5433</v>
      </c>
      <c r="D2519" t="s">
        <v>4080</v>
      </c>
      <c r="E2519" t="s">
        <v>19</v>
      </c>
      <c r="F2519" t="s">
        <v>5434</v>
      </c>
      <c r="G2519" t="str">
        <f>"00531798"</f>
        <v>00531798</v>
      </c>
      <c r="H2519">
        <v>7.2</v>
      </c>
      <c r="I2519">
        <v>10</v>
      </c>
      <c r="L2519">
        <v>4</v>
      </c>
      <c r="M2519">
        <v>4</v>
      </c>
      <c r="N2519">
        <v>4</v>
      </c>
      <c r="O2519">
        <v>0</v>
      </c>
      <c r="P2519">
        <v>25.2</v>
      </c>
      <c r="Q2519">
        <v>0</v>
      </c>
      <c r="R2519">
        <v>0</v>
      </c>
      <c r="S2519">
        <v>0</v>
      </c>
      <c r="T2519">
        <v>0</v>
      </c>
      <c r="U2519" s="1">
        <v>0</v>
      </c>
      <c r="V2519">
        <v>25.2</v>
      </c>
    </row>
    <row r="2520" spans="1:22" ht="15">
      <c r="A2520" s="4">
        <v>2513</v>
      </c>
      <c r="B2520">
        <v>3444</v>
      </c>
      <c r="C2520" t="s">
        <v>3413</v>
      </c>
      <c r="D2520" t="s">
        <v>582</v>
      </c>
      <c r="E2520" t="s">
        <v>83</v>
      </c>
      <c r="F2520" t="s">
        <v>5435</v>
      </c>
      <c r="G2520" t="str">
        <f>"00533558"</f>
        <v>00533558</v>
      </c>
      <c r="H2520">
        <v>25.2</v>
      </c>
      <c r="I2520">
        <v>0</v>
      </c>
      <c r="M2520">
        <v>0</v>
      </c>
      <c r="N2520">
        <v>0</v>
      </c>
      <c r="O2520">
        <v>0</v>
      </c>
      <c r="P2520">
        <v>25.2</v>
      </c>
      <c r="Q2520">
        <v>0</v>
      </c>
      <c r="R2520">
        <v>0</v>
      </c>
      <c r="S2520">
        <v>0</v>
      </c>
      <c r="T2520">
        <v>0</v>
      </c>
      <c r="U2520" s="1">
        <v>0</v>
      </c>
      <c r="V2520">
        <v>25.2</v>
      </c>
    </row>
    <row r="2521" spans="1:22" ht="15">
      <c r="A2521" s="4">
        <v>2514</v>
      </c>
      <c r="B2521">
        <v>3084</v>
      </c>
      <c r="C2521" t="s">
        <v>2724</v>
      </c>
      <c r="D2521" t="s">
        <v>273</v>
      </c>
      <c r="E2521" t="s">
        <v>5436</v>
      </c>
      <c r="F2521" t="s">
        <v>5437</v>
      </c>
      <c r="G2521" t="str">
        <f>"201604005070"</f>
        <v>201604005070</v>
      </c>
      <c r="H2521">
        <v>25.08</v>
      </c>
      <c r="I2521">
        <v>0</v>
      </c>
      <c r="M2521">
        <v>0</v>
      </c>
      <c r="N2521">
        <v>0</v>
      </c>
      <c r="O2521">
        <v>0</v>
      </c>
      <c r="P2521">
        <v>25.08</v>
      </c>
      <c r="Q2521">
        <v>0</v>
      </c>
      <c r="R2521">
        <v>0</v>
      </c>
      <c r="S2521">
        <v>0</v>
      </c>
      <c r="T2521">
        <v>0</v>
      </c>
      <c r="U2521" s="1">
        <v>0</v>
      </c>
      <c r="V2521">
        <v>25.08</v>
      </c>
    </row>
    <row r="2522" spans="1:22" ht="15">
      <c r="A2522" s="4">
        <v>2515</v>
      </c>
      <c r="B2522">
        <v>1554</v>
      </c>
      <c r="C2522" t="s">
        <v>5438</v>
      </c>
      <c r="D2522" t="s">
        <v>14</v>
      </c>
      <c r="E2522" t="s">
        <v>90</v>
      </c>
      <c r="F2522" t="s">
        <v>5439</v>
      </c>
      <c r="G2522" t="str">
        <f>"00518158"</f>
        <v>00518158</v>
      </c>
      <c r="H2522">
        <v>0</v>
      </c>
      <c r="I2522">
        <v>0</v>
      </c>
      <c r="M2522">
        <v>4</v>
      </c>
      <c r="N2522">
        <v>0</v>
      </c>
      <c r="O2522">
        <v>0</v>
      </c>
      <c r="P2522">
        <v>4</v>
      </c>
      <c r="Q2522">
        <v>21</v>
      </c>
      <c r="R2522">
        <v>21</v>
      </c>
      <c r="S2522">
        <v>0</v>
      </c>
      <c r="T2522">
        <v>0</v>
      </c>
      <c r="U2522" s="1">
        <v>0</v>
      </c>
      <c r="V2522">
        <v>25</v>
      </c>
    </row>
    <row r="2523" spans="1:22" ht="15">
      <c r="A2523" s="4">
        <v>2516</v>
      </c>
      <c r="B2523">
        <v>98</v>
      </c>
      <c r="C2523" t="s">
        <v>5440</v>
      </c>
      <c r="D2523" t="s">
        <v>222</v>
      </c>
      <c r="E2523" t="s">
        <v>157</v>
      </c>
      <c r="F2523" t="s">
        <v>5441</v>
      </c>
      <c r="G2523" t="str">
        <f>"00441621"</f>
        <v>00441621</v>
      </c>
      <c r="H2523">
        <v>0</v>
      </c>
      <c r="I2523">
        <v>0</v>
      </c>
      <c r="L2523">
        <v>4</v>
      </c>
      <c r="M2523">
        <v>4</v>
      </c>
      <c r="N2523">
        <v>4</v>
      </c>
      <c r="O2523">
        <v>0</v>
      </c>
      <c r="P2523">
        <v>8</v>
      </c>
      <c r="Q2523">
        <v>17</v>
      </c>
      <c r="R2523">
        <v>17</v>
      </c>
      <c r="S2523">
        <v>0</v>
      </c>
      <c r="T2523">
        <v>0</v>
      </c>
      <c r="U2523" s="1">
        <v>0</v>
      </c>
      <c r="V2523">
        <v>25</v>
      </c>
    </row>
    <row r="2524" spans="1:22" ht="15">
      <c r="A2524" s="4">
        <v>2517</v>
      </c>
      <c r="B2524">
        <v>456</v>
      </c>
      <c r="C2524" t="s">
        <v>5442</v>
      </c>
      <c r="D2524" t="s">
        <v>76</v>
      </c>
      <c r="E2524" t="s">
        <v>11</v>
      </c>
      <c r="F2524" t="s">
        <v>5443</v>
      </c>
      <c r="G2524" t="str">
        <f>"00392565"</f>
        <v>00392565</v>
      </c>
      <c r="H2524">
        <v>18.92</v>
      </c>
      <c r="I2524">
        <v>0</v>
      </c>
      <c r="M2524">
        <v>0</v>
      </c>
      <c r="N2524">
        <v>0</v>
      </c>
      <c r="O2524">
        <v>0</v>
      </c>
      <c r="P2524">
        <v>18.92</v>
      </c>
      <c r="Q2524">
        <v>0</v>
      </c>
      <c r="R2524">
        <v>0</v>
      </c>
      <c r="S2524">
        <v>6</v>
      </c>
      <c r="T2524">
        <v>0</v>
      </c>
      <c r="U2524" s="1">
        <v>0</v>
      </c>
      <c r="V2524">
        <v>24.92</v>
      </c>
    </row>
    <row r="2525" spans="1:22" ht="15">
      <c r="A2525" s="4">
        <v>2518</v>
      </c>
      <c r="B2525">
        <v>2696</v>
      </c>
      <c r="C2525" t="s">
        <v>5444</v>
      </c>
      <c r="D2525" t="s">
        <v>5445</v>
      </c>
      <c r="E2525" t="s">
        <v>2166</v>
      </c>
      <c r="F2525" t="s">
        <v>5446</v>
      </c>
      <c r="G2525" t="str">
        <f>"00044674"</f>
        <v>00044674</v>
      </c>
      <c r="H2525">
        <v>17.84</v>
      </c>
      <c r="I2525">
        <v>0</v>
      </c>
      <c r="M2525">
        <v>4</v>
      </c>
      <c r="N2525">
        <v>0</v>
      </c>
      <c r="O2525">
        <v>0</v>
      </c>
      <c r="P2525">
        <v>21.84</v>
      </c>
      <c r="Q2525">
        <v>0</v>
      </c>
      <c r="R2525">
        <v>0</v>
      </c>
      <c r="S2525">
        <v>3</v>
      </c>
      <c r="T2525">
        <v>0</v>
      </c>
      <c r="U2525" s="1">
        <v>0</v>
      </c>
      <c r="V2525">
        <v>24.84</v>
      </c>
    </row>
    <row r="2526" spans="1:22" ht="15">
      <c r="A2526" s="4">
        <v>2519</v>
      </c>
      <c r="B2526">
        <v>1979</v>
      </c>
      <c r="C2526" t="s">
        <v>5447</v>
      </c>
      <c r="D2526" t="s">
        <v>102</v>
      </c>
      <c r="E2526" t="s">
        <v>51</v>
      </c>
      <c r="F2526" t="s">
        <v>5448</v>
      </c>
      <c r="G2526" t="str">
        <f>"00530361"</f>
        <v>00530361</v>
      </c>
      <c r="H2526">
        <v>24.84</v>
      </c>
      <c r="I2526">
        <v>0</v>
      </c>
      <c r="M2526">
        <v>0</v>
      </c>
      <c r="N2526">
        <v>0</v>
      </c>
      <c r="O2526">
        <v>0</v>
      </c>
      <c r="P2526">
        <v>24.84</v>
      </c>
      <c r="Q2526">
        <v>0</v>
      </c>
      <c r="R2526">
        <v>0</v>
      </c>
      <c r="S2526">
        <v>0</v>
      </c>
      <c r="T2526">
        <v>0</v>
      </c>
      <c r="U2526" s="1">
        <v>0</v>
      </c>
      <c r="V2526">
        <v>24.84</v>
      </c>
    </row>
    <row r="2527" spans="1:22" ht="15">
      <c r="A2527" s="4">
        <v>2520</v>
      </c>
      <c r="B2527">
        <v>362</v>
      </c>
      <c r="C2527" t="s">
        <v>3224</v>
      </c>
      <c r="D2527" t="s">
        <v>1378</v>
      </c>
      <c r="E2527" t="s">
        <v>99</v>
      </c>
      <c r="F2527" t="s">
        <v>5449</v>
      </c>
      <c r="G2527" t="str">
        <f>"00511986"</f>
        <v>00511986</v>
      </c>
      <c r="H2527">
        <v>15.72</v>
      </c>
      <c r="I2527">
        <v>0</v>
      </c>
      <c r="M2527">
        <v>0</v>
      </c>
      <c r="N2527">
        <v>0</v>
      </c>
      <c r="O2527">
        <v>0</v>
      </c>
      <c r="P2527">
        <v>15.72</v>
      </c>
      <c r="Q2527">
        <v>3</v>
      </c>
      <c r="R2527">
        <v>3</v>
      </c>
      <c r="S2527">
        <v>6</v>
      </c>
      <c r="T2527">
        <v>0</v>
      </c>
      <c r="U2527" s="1">
        <v>0</v>
      </c>
      <c r="V2527">
        <v>24.72</v>
      </c>
    </row>
    <row r="2528" spans="1:22" ht="15">
      <c r="A2528" s="4">
        <v>2521</v>
      </c>
      <c r="B2528">
        <v>2717</v>
      </c>
      <c r="C2528" t="s">
        <v>5450</v>
      </c>
      <c r="D2528" t="s">
        <v>40</v>
      </c>
      <c r="E2528" t="s">
        <v>11</v>
      </c>
      <c r="F2528" t="s">
        <v>5451</v>
      </c>
      <c r="G2528" t="str">
        <f>"00533065"</f>
        <v>00533065</v>
      </c>
      <c r="H2528">
        <v>21.6</v>
      </c>
      <c r="I2528">
        <v>0</v>
      </c>
      <c r="M2528">
        <v>0</v>
      </c>
      <c r="N2528">
        <v>0</v>
      </c>
      <c r="O2528">
        <v>0</v>
      </c>
      <c r="P2528">
        <v>21.6</v>
      </c>
      <c r="Q2528">
        <v>0</v>
      </c>
      <c r="R2528">
        <v>0</v>
      </c>
      <c r="S2528">
        <v>3</v>
      </c>
      <c r="T2528">
        <v>0</v>
      </c>
      <c r="U2528" s="1">
        <v>0</v>
      </c>
      <c r="V2528">
        <v>24.6</v>
      </c>
    </row>
    <row r="2529" spans="1:22" ht="15">
      <c r="A2529" s="4">
        <v>2522</v>
      </c>
      <c r="B2529">
        <v>2751</v>
      </c>
      <c r="C2529" t="s">
        <v>2108</v>
      </c>
      <c r="D2529" t="s">
        <v>40</v>
      </c>
      <c r="E2529" t="s">
        <v>447</v>
      </c>
      <c r="F2529" t="s">
        <v>5452</v>
      </c>
      <c r="G2529" t="str">
        <f>"00498655"</f>
        <v>00498655</v>
      </c>
      <c r="H2529">
        <v>21.6</v>
      </c>
      <c r="I2529">
        <v>0</v>
      </c>
      <c r="M2529">
        <v>0</v>
      </c>
      <c r="N2529">
        <v>0</v>
      </c>
      <c r="O2529">
        <v>0</v>
      </c>
      <c r="P2529">
        <v>21.6</v>
      </c>
      <c r="Q2529">
        <v>0</v>
      </c>
      <c r="R2529">
        <v>0</v>
      </c>
      <c r="S2529">
        <v>3</v>
      </c>
      <c r="T2529">
        <v>0</v>
      </c>
      <c r="U2529" s="1">
        <v>0</v>
      </c>
      <c r="V2529">
        <v>24.6</v>
      </c>
    </row>
    <row r="2530" spans="1:22" ht="15">
      <c r="A2530" s="4">
        <v>2523</v>
      </c>
      <c r="B2530">
        <v>1623</v>
      </c>
      <c r="C2530" t="s">
        <v>5453</v>
      </c>
      <c r="D2530" t="s">
        <v>102</v>
      </c>
      <c r="E2530" t="s">
        <v>69</v>
      </c>
      <c r="F2530" t="s">
        <v>5454</v>
      </c>
      <c r="G2530" t="str">
        <f>"00531441"</f>
        <v>00531441</v>
      </c>
      <c r="H2530">
        <v>21.6</v>
      </c>
      <c r="I2530">
        <v>0</v>
      </c>
      <c r="M2530">
        <v>0</v>
      </c>
      <c r="N2530">
        <v>0</v>
      </c>
      <c r="O2530">
        <v>0</v>
      </c>
      <c r="P2530">
        <v>21.6</v>
      </c>
      <c r="Q2530">
        <v>0</v>
      </c>
      <c r="R2530">
        <v>0</v>
      </c>
      <c r="S2530">
        <v>3</v>
      </c>
      <c r="T2530">
        <v>0</v>
      </c>
      <c r="U2530" s="1">
        <v>0</v>
      </c>
      <c r="V2530">
        <v>24.6</v>
      </c>
    </row>
    <row r="2531" spans="1:22" ht="15">
      <c r="A2531" s="4">
        <v>2524</v>
      </c>
      <c r="B2531">
        <v>2982</v>
      </c>
      <c r="C2531" t="s">
        <v>5455</v>
      </c>
      <c r="D2531" t="s">
        <v>5456</v>
      </c>
      <c r="E2531" t="s">
        <v>19</v>
      </c>
      <c r="F2531" t="s">
        <v>5457</v>
      </c>
      <c r="G2531" t="str">
        <f>"00327899"</f>
        <v>00327899</v>
      </c>
      <c r="H2531">
        <v>21.6</v>
      </c>
      <c r="I2531">
        <v>0</v>
      </c>
      <c r="M2531">
        <v>0</v>
      </c>
      <c r="N2531">
        <v>0</v>
      </c>
      <c r="O2531">
        <v>0</v>
      </c>
      <c r="P2531">
        <v>21.6</v>
      </c>
      <c r="Q2531">
        <v>0</v>
      </c>
      <c r="R2531">
        <v>0</v>
      </c>
      <c r="S2531">
        <v>3</v>
      </c>
      <c r="T2531">
        <v>0</v>
      </c>
      <c r="U2531" s="1">
        <v>0</v>
      </c>
      <c r="V2531">
        <v>24.6</v>
      </c>
    </row>
    <row r="2532" spans="1:22" ht="15">
      <c r="A2532" s="4">
        <v>2525</v>
      </c>
      <c r="B2532">
        <v>2337</v>
      </c>
      <c r="C2532" t="s">
        <v>5168</v>
      </c>
      <c r="D2532" t="s">
        <v>179</v>
      </c>
      <c r="E2532" t="s">
        <v>73</v>
      </c>
      <c r="F2532" t="s">
        <v>5458</v>
      </c>
      <c r="G2532" t="str">
        <f>"00530502"</f>
        <v>00530502</v>
      </c>
      <c r="H2532">
        <v>14.4</v>
      </c>
      <c r="I2532">
        <v>0</v>
      </c>
      <c r="L2532">
        <v>4</v>
      </c>
      <c r="M2532">
        <v>4</v>
      </c>
      <c r="N2532">
        <v>4</v>
      </c>
      <c r="O2532">
        <v>2</v>
      </c>
      <c r="P2532">
        <v>24.4</v>
      </c>
      <c r="Q2532">
        <v>0</v>
      </c>
      <c r="R2532">
        <v>0</v>
      </c>
      <c r="S2532">
        <v>0</v>
      </c>
      <c r="T2532">
        <v>0</v>
      </c>
      <c r="U2532" s="1">
        <v>0</v>
      </c>
      <c r="V2532">
        <v>24.4</v>
      </c>
    </row>
    <row r="2533" spans="1:22" ht="15">
      <c r="A2533" s="4">
        <v>2526</v>
      </c>
      <c r="B2533">
        <v>2893</v>
      </c>
      <c r="C2533" t="s">
        <v>5459</v>
      </c>
      <c r="D2533" t="s">
        <v>1034</v>
      </c>
      <c r="E2533" t="s">
        <v>19</v>
      </c>
      <c r="F2533" t="s">
        <v>5460</v>
      </c>
      <c r="G2533" t="str">
        <f>"00509256"</f>
        <v>00509256</v>
      </c>
      <c r="H2533">
        <v>14.4</v>
      </c>
      <c r="I2533">
        <v>0</v>
      </c>
      <c r="M2533">
        <v>4</v>
      </c>
      <c r="N2533">
        <v>0</v>
      </c>
      <c r="O2533">
        <v>0</v>
      </c>
      <c r="P2533">
        <v>18.4</v>
      </c>
      <c r="Q2533">
        <v>0</v>
      </c>
      <c r="R2533">
        <v>0</v>
      </c>
      <c r="S2533">
        <v>6</v>
      </c>
      <c r="T2533">
        <v>0</v>
      </c>
      <c r="U2533" s="1">
        <v>0</v>
      </c>
      <c r="V2533">
        <v>24.4</v>
      </c>
    </row>
    <row r="2534" spans="1:22" ht="15">
      <c r="A2534" s="4">
        <v>2527</v>
      </c>
      <c r="B2534">
        <v>1689</v>
      </c>
      <c r="C2534" t="s">
        <v>5461</v>
      </c>
      <c r="D2534" t="s">
        <v>76</v>
      </c>
      <c r="E2534" t="s">
        <v>447</v>
      </c>
      <c r="F2534" t="s">
        <v>5462</v>
      </c>
      <c r="G2534" t="str">
        <f>"00507254"</f>
        <v>00507254</v>
      </c>
      <c r="H2534">
        <v>14.4</v>
      </c>
      <c r="I2534">
        <v>0</v>
      </c>
      <c r="L2534">
        <v>4</v>
      </c>
      <c r="M2534">
        <v>4</v>
      </c>
      <c r="N2534">
        <v>4</v>
      </c>
      <c r="O2534">
        <v>2</v>
      </c>
      <c r="P2534">
        <v>24.4</v>
      </c>
      <c r="Q2534">
        <v>0</v>
      </c>
      <c r="R2534">
        <v>0</v>
      </c>
      <c r="S2534">
        <v>0</v>
      </c>
      <c r="T2534">
        <v>0</v>
      </c>
      <c r="U2534" s="1">
        <v>0</v>
      </c>
      <c r="V2534">
        <v>24.4</v>
      </c>
    </row>
    <row r="2535" spans="1:22" ht="15">
      <c r="A2535" s="4">
        <v>2528</v>
      </c>
      <c r="B2535">
        <v>3120</v>
      </c>
      <c r="C2535" t="s">
        <v>5463</v>
      </c>
      <c r="D2535" t="s">
        <v>580</v>
      </c>
      <c r="E2535" t="s">
        <v>86</v>
      </c>
      <c r="F2535" t="s">
        <v>5464</v>
      </c>
      <c r="G2535" t="str">
        <f>"00391882"</f>
        <v>00391882</v>
      </c>
      <c r="H2535">
        <v>14.4</v>
      </c>
      <c r="I2535">
        <v>0</v>
      </c>
      <c r="M2535">
        <v>4</v>
      </c>
      <c r="N2535">
        <v>0</v>
      </c>
      <c r="O2535">
        <v>0</v>
      </c>
      <c r="P2535">
        <v>18.4</v>
      </c>
      <c r="Q2535">
        <v>0</v>
      </c>
      <c r="R2535">
        <v>0</v>
      </c>
      <c r="S2535">
        <v>6</v>
      </c>
      <c r="T2535">
        <v>0</v>
      </c>
      <c r="U2535" s="1">
        <v>0</v>
      </c>
      <c r="V2535">
        <v>24.4</v>
      </c>
    </row>
    <row r="2536" spans="1:22" ht="15">
      <c r="A2536" s="4">
        <v>2529</v>
      </c>
      <c r="B2536">
        <v>1016</v>
      </c>
      <c r="C2536" t="s">
        <v>5465</v>
      </c>
      <c r="D2536" t="s">
        <v>179</v>
      </c>
      <c r="E2536" t="s">
        <v>15</v>
      </c>
      <c r="F2536" t="s">
        <v>5466</v>
      </c>
      <c r="G2536" t="str">
        <f>"00528084"</f>
        <v>00528084</v>
      </c>
      <c r="H2536">
        <v>14.4</v>
      </c>
      <c r="I2536">
        <v>0</v>
      </c>
      <c r="L2536">
        <v>4</v>
      </c>
      <c r="M2536">
        <v>4</v>
      </c>
      <c r="N2536">
        <v>4</v>
      </c>
      <c r="O2536">
        <v>2</v>
      </c>
      <c r="P2536">
        <v>24.4</v>
      </c>
      <c r="Q2536">
        <v>0</v>
      </c>
      <c r="R2536">
        <v>0</v>
      </c>
      <c r="S2536">
        <v>0</v>
      </c>
      <c r="T2536">
        <v>0</v>
      </c>
      <c r="U2536" s="1">
        <v>0</v>
      </c>
      <c r="V2536">
        <v>24.4</v>
      </c>
    </row>
    <row r="2537" spans="1:22" ht="15">
      <c r="A2537" s="4">
        <v>2530</v>
      </c>
      <c r="B2537">
        <v>1628</v>
      </c>
      <c r="C2537" t="s">
        <v>5467</v>
      </c>
      <c r="D2537" t="s">
        <v>5468</v>
      </c>
      <c r="E2537" t="s">
        <v>11</v>
      </c>
      <c r="F2537" t="s">
        <v>5469</v>
      </c>
      <c r="G2537" t="str">
        <f>"00522043"</f>
        <v>00522043</v>
      </c>
      <c r="H2537">
        <v>18.4</v>
      </c>
      <c r="I2537">
        <v>0</v>
      </c>
      <c r="M2537">
        <v>0</v>
      </c>
      <c r="N2537">
        <v>0</v>
      </c>
      <c r="O2537">
        <v>0</v>
      </c>
      <c r="P2537">
        <v>18.4</v>
      </c>
      <c r="Q2537">
        <v>0</v>
      </c>
      <c r="R2537">
        <v>0</v>
      </c>
      <c r="S2537">
        <v>6</v>
      </c>
      <c r="T2537">
        <v>0</v>
      </c>
      <c r="U2537" s="1">
        <v>0</v>
      </c>
      <c r="V2537">
        <v>24.4</v>
      </c>
    </row>
    <row r="2538" spans="1:22" ht="15">
      <c r="A2538" s="4">
        <v>2531</v>
      </c>
      <c r="B2538">
        <v>691</v>
      </c>
      <c r="C2538" t="s">
        <v>5470</v>
      </c>
      <c r="D2538" t="s">
        <v>36</v>
      </c>
      <c r="E2538" t="s">
        <v>47</v>
      </c>
      <c r="F2538" t="s">
        <v>5471</v>
      </c>
      <c r="G2538" t="str">
        <f>"00531377"</f>
        <v>00531377</v>
      </c>
      <c r="H2538">
        <v>14.4</v>
      </c>
      <c r="I2538">
        <v>0</v>
      </c>
      <c r="M2538">
        <v>4</v>
      </c>
      <c r="N2538">
        <v>0</v>
      </c>
      <c r="O2538">
        <v>0</v>
      </c>
      <c r="P2538">
        <v>18.4</v>
      </c>
      <c r="Q2538">
        <v>0</v>
      </c>
      <c r="R2538">
        <v>0</v>
      </c>
      <c r="S2538">
        <v>6</v>
      </c>
      <c r="T2538">
        <v>0</v>
      </c>
      <c r="U2538" s="1">
        <v>0</v>
      </c>
      <c r="V2538">
        <v>24.4</v>
      </c>
    </row>
    <row r="2539" spans="1:22" ht="15">
      <c r="A2539" s="4">
        <v>2532</v>
      </c>
      <c r="B2539">
        <v>780</v>
      </c>
      <c r="C2539" t="s">
        <v>3814</v>
      </c>
      <c r="D2539" t="s">
        <v>14</v>
      </c>
      <c r="E2539" t="s">
        <v>19</v>
      </c>
      <c r="F2539" t="s">
        <v>5472</v>
      </c>
      <c r="G2539" t="str">
        <f>"00525384"</f>
        <v>00525384</v>
      </c>
      <c r="H2539">
        <v>18.28</v>
      </c>
      <c r="I2539">
        <v>0</v>
      </c>
      <c r="M2539">
        <v>0</v>
      </c>
      <c r="N2539">
        <v>0</v>
      </c>
      <c r="O2539">
        <v>0</v>
      </c>
      <c r="P2539">
        <v>18.28</v>
      </c>
      <c r="Q2539">
        <v>0</v>
      </c>
      <c r="R2539">
        <v>0</v>
      </c>
      <c r="S2539">
        <v>6</v>
      </c>
      <c r="T2539">
        <v>0</v>
      </c>
      <c r="U2539" s="1">
        <v>0</v>
      </c>
      <c r="V2539">
        <v>24.28</v>
      </c>
    </row>
    <row r="2540" spans="1:22" ht="15">
      <c r="A2540" s="4">
        <v>2533</v>
      </c>
      <c r="B2540">
        <v>1336</v>
      </c>
      <c r="C2540" t="s">
        <v>5473</v>
      </c>
      <c r="D2540" t="s">
        <v>102</v>
      </c>
      <c r="E2540" t="s">
        <v>90</v>
      </c>
      <c r="F2540" t="s">
        <v>5474</v>
      </c>
      <c r="G2540" t="str">
        <f>"00487402"</f>
        <v>00487402</v>
      </c>
      <c r="H2540">
        <v>7.2</v>
      </c>
      <c r="I2540">
        <v>0</v>
      </c>
      <c r="L2540">
        <v>4</v>
      </c>
      <c r="M2540">
        <v>0</v>
      </c>
      <c r="N2540">
        <v>4</v>
      </c>
      <c r="O2540">
        <v>0</v>
      </c>
      <c r="P2540">
        <v>11.2</v>
      </c>
      <c r="Q2540">
        <v>13</v>
      </c>
      <c r="R2540">
        <v>13</v>
      </c>
      <c r="S2540">
        <v>0</v>
      </c>
      <c r="T2540">
        <v>0</v>
      </c>
      <c r="U2540" s="1">
        <v>0</v>
      </c>
      <c r="V2540">
        <v>24.2</v>
      </c>
    </row>
    <row r="2541" spans="1:22" ht="15">
      <c r="A2541" s="4">
        <v>2534</v>
      </c>
      <c r="B2541">
        <v>2146</v>
      </c>
      <c r="C2541" t="s">
        <v>543</v>
      </c>
      <c r="D2541" t="s">
        <v>189</v>
      </c>
      <c r="E2541" t="s">
        <v>73</v>
      </c>
      <c r="F2541" t="s">
        <v>5475</v>
      </c>
      <c r="G2541" t="str">
        <f>"00518449"</f>
        <v>00518449</v>
      </c>
      <c r="H2541">
        <v>17.2</v>
      </c>
      <c r="I2541">
        <v>0</v>
      </c>
      <c r="M2541">
        <v>4</v>
      </c>
      <c r="N2541">
        <v>0</v>
      </c>
      <c r="O2541">
        <v>0</v>
      </c>
      <c r="P2541">
        <v>21.2</v>
      </c>
      <c r="Q2541">
        <v>0</v>
      </c>
      <c r="R2541">
        <v>0</v>
      </c>
      <c r="S2541">
        <v>3</v>
      </c>
      <c r="T2541">
        <v>0</v>
      </c>
      <c r="U2541" s="1">
        <v>0</v>
      </c>
      <c r="V2541">
        <v>24.2</v>
      </c>
    </row>
    <row r="2542" spans="1:22" ht="15">
      <c r="A2542" s="4">
        <v>2535</v>
      </c>
      <c r="B2542">
        <v>1313</v>
      </c>
      <c r="C2542" t="s">
        <v>5143</v>
      </c>
      <c r="D2542" t="s">
        <v>14</v>
      </c>
      <c r="E2542" t="s">
        <v>15</v>
      </c>
      <c r="F2542" t="s">
        <v>5476</v>
      </c>
      <c r="G2542" t="str">
        <f>"00509754"</f>
        <v>00509754</v>
      </c>
      <c r="H2542">
        <v>18.2</v>
      </c>
      <c r="I2542">
        <v>0</v>
      </c>
      <c r="M2542">
        <v>0</v>
      </c>
      <c r="N2542">
        <v>0</v>
      </c>
      <c r="O2542">
        <v>0</v>
      </c>
      <c r="P2542">
        <v>18.2</v>
      </c>
      <c r="Q2542">
        <v>0</v>
      </c>
      <c r="R2542">
        <v>0</v>
      </c>
      <c r="S2542">
        <v>6</v>
      </c>
      <c r="T2542">
        <v>0</v>
      </c>
      <c r="U2542" s="1">
        <v>0</v>
      </c>
      <c r="V2542">
        <v>24.2</v>
      </c>
    </row>
    <row r="2543" spans="1:22" ht="15">
      <c r="A2543" s="4">
        <v>2536</v>
      </c>
      <c r="B2543">
        <v>738</v>
      </c>
      <c r="C2543" t="s">
        <v>5477</v>
      </c>
      <c r="D2543" t="s">
        <v>89</v>
      </c>
      <c r="E2543" t="s">
        <v>51</v>
      </c>
      <c r="F2543" t="s">
        <v>5478</v>
      </c>
      <c r="G2543" t="str">
        <f>"201511017261"</f>
        <v>201511017261</v>
      </c>
      <c r="H2543">
        <v>7.2</v>
      </c>
      <c r="I2543">
        <v>0</v>
      </c>
      <c r="J2543">
        <v>8</v>
      </c>
      <c r="M2543">
        <v>0</v>
      </c>
      <c r="N2543">
        <v>8</v>
      </c>
      <c r="O2543">
        <v>0</v>
      </c>
      <c r="P2543">
        <v>15.2</v>
      </c>
      <c r="Q2543">
        <v>0</v>
      </c>
      <c r="R2543">
        <v>0</v>
      </c>
      <c r="S2543">
        <v>9</v>
      </c>
      <c r="T2543">
        <v>0</v>
      </c>
      <c r="U2543" s="1">
        <v>0</v>
      </c>
      <c r="V2543">
        <v>24.2</v>
      </c>
    </row>
    <row r="2544" spans="1:22" ht="15">
      <c r="A2544" s="4">
        <v>2537</v>
      </c>
      <c r="B2544">
        <v>1395</v>
      </c>
      <c r="C2544" t="s">
        <v>3848</v>
      </c>
      <c r="D2544" t="s">
        <v>102</v>
      </c>
      <c r="E2544" t="s">
        <v>86</v>
      </c>
      <c r="F2544" t="s">
        <v>5479</v>
      </c>
      <c r="G2544" t="str">
        <f>"00512067"</f>
        <v>00512067</v>
      </c>
      <c r="H2544">
        <v>21.16</v>
      </c>
      <c r="I2544">
        <v>0</v>
      </c>
      <c r="M2544">
        <v>0</v>
      </c>
      <c r="N2544">
        <v>0</v>
      </c>
      <c r="O2544">
        <v>0</v>
      </c>
      <c r="P2544">
        <v>21.16</v>
      </c>
      <c r="Q2544">
        <v>0</v>
      </c>
      <c r="R2544">
        <v>0</v>
      </c>
      <c r="S2544">
        <v>3</v>
      </c>
      <c r="T2544">
        <v>0</v>
      </c>
      <c r="U2544" s="1">
        <v>0</v>
      </c>
      <c r="V2544">
        <v>24.16</v>
      </c>
    </row>
    <row r="2545" spans="1:22" ht="15">
      <c r="A2545" s="4">
        <v>2538</v>
      </c>
      <c r="B2545">
        <v>895</v>
      </c>
      <c r="C2545" t="s">
        <v>1165</v>
      </c>
      <c r="D2545" t="s">
        <v>319</v>
      </c>
      <c r="E2545" t="s">
        <v>23</v>
      </c>
      <c r="F2545" t="s">
        <v>5480</v>
      </c>
      <c r="G2545" t="str">
        <f>"00530842"</f>
        <v>00530842</v>
      </c>
      <c r="H2545">
        <v>14.16</v>
      </c>
      <c r="I2545">
        <v>0</v>
      </c>
      <c r="M2545">
        <v>4</v>
      </c>
      <c r="N2545">
        <v>0</v>
      </c>
      <c r="O2545">
        <v>0</v>
      </c>
      <c r="P2545">
        <v>18.16</v>
      </c>
      <c r="Q2545">
        <v>0</v>
      </c>
      <c r="R2545">
        <v>0</v>
      </c>
      <c r="S2545">
        <v>6</v>
      </c>
      <c r="T2545">
        <v>0</v>
      </c>
      <c r="U2545" s="1">
        <v>0</v>
      </c>
      <c r="V2545">
        <v>24.16</v>
      </c>
    </row>
    <row r="2546" spans="1:22" ht="15">
      <c r="A2546" s="4">
        <v>2539</v>
      </c>
      <c r="B2546">
        <v>952</v>
      </c>
      <c r="C2546" t="s">
        <v>5481</v>
      </c>
      <c r="D2546" t="s">
        <v>14</v>
      </c>
      <c r="E2546" t="s">
        <v>30</v>
      </c>
      <c r="F2546" t="s">
        <v>5482</v>
      </c>
      <c r="G2546" t="str">
        <f>"201410012572"</f>
        <v>201410012572</v>
      </c>
      <c r="H2546">
        <v>4</v>
      </c>
      <c r="I2546">
        <v>10</v>
      </c>
      <c r="M2546">
        <v>4</v>
      </c>
      <c r="N2546">
        <v>0</v>
      </c>
      <c r="O2546">
        <v>0</v>
      </c>
      <c r="P2546">
        <v>18</v>
      </c>
      <c r="Q2546">
        <v>0</v>
      </c>
      <c r="R2546">
        <v>0</v>
      </c>
      <c r="S2546">
        <v>6</v>
      </c>
      <c r="T2546">
        <v>0</v>
      </c>
      <c r="U2546" s="1">
        <v>0</v>
      </c>
      <c r="V2546">
        <v>24</v>
      </c>
    </row>
    <row r="2547" spans="1:22" ht="15">
      <c r="A2547" s="4">
        <v>2540</v>
      </c>
      <c r="B2547">
        <v>1338</v>
      </c>
      <c r="C2547" t="s">
        <v>5483</v>
      </c>
      <c r="D2547" t="s">
        <v>5484</v>
      </c>
      <c r="E2547" t="s">
        <v>1126</v>
      </c>
      <c r="F2547" t="s">
        <v>5485</v>
      </c>
      <c r="G2547" t="str">
        <f>"201502001323"</f>
        <v>201502001323</v>
      </c>
      <c r="H2547">
        <v>21</v>
      </c>
      <c r="I2547">
        <v>0</v>
      </c>
      <c r="M2547">
        <v>0</v>
      </c>
      <c r="N2547">
        <v>0</v>
      </c>
      <c r="O2547">
        <v>0</v>
      </c>
      <c r="P2547">
        <v>21</v>
      </c>
      <c r="Q2547">
        <v>3</v>
      </c>
      <c r="R2547">
        <v>3</v>
      </c>
      <c r="S2547">
        <v>0</v>
      </c>
      <c r="T2547">
        <v>0</v>
      </c>
      <c r="U2547" s="1">
        <v>0</v>
      </c>
      <c r="V2547">
        <v>24</v>
      </c>
    </row>
    <row r="2548" spans="1:22" ht="15">
      <c r="A2548" s="4">
        <v>2541</v>
      </c>
      <c r="B2548">
        <v>1701</v>
      </c>
      <c r="C2548" t="s">
        <v>4476</v>
      </c>
      <c r="D2548" t="s">
        <v>5486</v>
      </c>
      <c r="E2548" t="s">
        <v>190</v>
      </c>
      <c r="F2548" t="s">
        <v>5487</v>
      </c>
      <c r="G2548" t="str">
        <f>"00530257"</f>
        <v>00530257</v>
      </c>
      <c r="H2548">
        <v>0</v>
      </c>
      <c r="I2548">
        <v>10</v>
      </c>
      <c r="M2548">
        <v>4</v>
      </c>
      <c r="N2548">
        <v>0</v>
      </c>
      <c r="O2548">
        <v>0</v>
      </c>
      <c r="P2548">
        <v>14</v>
      </c>
      <c r="Q2548">
        <v>1</v>
      </c>
      <c r="R2548">
        <v>1</v>
      </c>
      <c r="S2548">
        <v>9</v>
      </c>
      <c r="T2548">
        <v>0</v>
      </c>
      <c r="U2548" s="1">
        <v>0</v>
      </c>
      <c r="V2548">
        <v>24</v>
      </c>
    </row>
    <row r="2549" spans="1:22" ht="15">
      <c r="A2549" s="4">
        <v>2542</v>
      </c>
      <c r="B2549">
        <v>3024</v>
      </c>
      <c r="C2549" t="s">
        <v>5488</v>
      </c>
      <c r="D2549" t="s">
        <v>280</v>
      </c>
      <c r="E2549" t="s">
        <v>1306</v>
      </c>
      <c r="F2549" t="s">
        <v>5489</v>
      </c>
      <c r="G2549" t="str">
        <f>"00530751"</f>
        <v>00530751</v>
      </c>
      <c r="H2549">
        <v>20</v>
      </c>
      <c r="I2549">
        <v>0</v>
      </c>
      <c r="M2549">
        <v>4</v>
      </c>
      <c r="N2549">
        <v>0</v>
      </c>
      <c r="O2549">
        <v>0</v>
      </c>
      <c r="P2549">
        <v>24</v>
      </c>
      <c r="Q2549">
        <v>0</v>
      </c>
      <c r="R2549">
        <v>0</v>
      </c>
      <c r="S2549">
        <v>0</v>
      </c>
      <c r="T2549">
        <v>0</v>
      </c>
      <c r="U2549" s="1">
        <v>0</v>
      </c>
      <c r="V2549">
        <v>24</v>
      </c>
    </row>
    <row r="2550" spans="1:22" ht="15">
      <c r="A2550" s="4">
        <v>2543</v>
      </c>
      <c r="B2550">
        <v>1930</v>
      </c>
      <c r="C2550" t="s">
        <v>5490</v>
      </c>
      <c r="D2550" t="s">
        <v>93</v>
      </c>
      <c r="E2550" t="s">
        <v>86</v>
      </c>
      <c r="F2550" t="s">
        <v>5491</v>
      </c>
      <c r="G2550" t="str">
        <f>"201511037934"</f>
        <v>201511037934</v>
      </c>
      <c r="H2550">
        <v>16.72</v>
      </c>
      <c r="I2550">
        <v>0</v>
      </c>
      <c r="L2550">
        <v>4</v>
      </c>
      <c r="M2550">
        <v>0</v>
      </c>
      <c r="N2550">
        <v>4</v>
      </c>
      <c r="O2550">
        <v>0</v>
      </c>
      <c r="P2550">
        <v>20.72</v>
      </c>
      <c r="Q2550">
        <v>0</v>
      </c>
      <c r="R2550">
        <v>0</v>
      </c>
      <c r="S2550">
        <v>3</v>
      </c>
      <c r="T2550">
        <v>0</v>
      </c>
      <c r="U2550" s="1">
        <v>0</v>
      </c>
      <c r="V2550">
        <v>23.72</v>
      </c>
    </row>
    <row r="2551" spans="1:22" ht="15">
      <c r="A2551" s="4">
        <v>2544</v>
      </c>
      <c r="B2551">
        <v>3252</v>
      </c>
      <c r="C2551" t="s">
        <v>5492</v>
      </c>
      <c r="D2551" t="s">
        <v>4479</v>
      </c>
      <c r="E2551" t="s">
        <v>19</v>
      </c>
      <c r="F2551" t="s">
        <v>5493</v>
      </c>
      <c r="G2551" t="str">
        <f>"00517261"</f>
        <v>00517261</v>
      </c>
      <c r="H2551">
        <v>14.68</v>
      </c>
      <c r="I2551">
        <v>0</v>
      </c>
      <c r="M2551">
        <v>0</v>
      </c>
      <c r="N2551">
        <v>0</v>
      </c>
      <c r="O2551">
        <v>0</v>
      </c>
      <c r="P2551">
        <v>14.68</v>
      </c>
      <c r="Q2551">
        <v>0</v>
      </c>
      <c r="R2551">
        <v>0</v>
      </c>
      <c r="S2551">
        <v>9</v>
      </c>
      <c r="T2551">
        <v>0</v>
      </c>
      <c r="U2551" s="1">
        <v>0</v>
      </c>
      <c r="V2551">
        <v>23.68</v>
      </c>
    </row>
    <row r="2552" spans="1:22" ht="15">
      <c r="A2552" s="4">
        <v>2545</v>
      </c>
      <c r="B2552">
        <v>475</v>
      </c>
      <c r="C2552" t="s">
        <v>5494</v>
      </c>
      <c r="D2552" t="s">
        <v>179</v>
      </c>
      <c r="E2552" t="s">
        <v>4396</v>
      </c>
      <c r="F2552" t="s">
        <v>5495</v>
      </c>
      <c r="G2552" t="str">
        <f>"00074542"</f>
        <v>00074542</v>
      </c>
      <c r="H2552">
        <v>23.64</v>
      </c>
      <c r="I2552">
        <v>0</v>
      </c>
      <c r="M2552">
        <v>0</v>
      </c>
      <c r="N2552">
        <v>0</v>
      </c>
      <c r="O2552">
        <v>0</v>
      </c>
      <c r="P2552">
        <v>23.64</v>
      </c>
      <c r="Q2552">
        <v>0</v>
      </c>
      <c r="R2552">
        <v>0</v>
      </c>
      <c r="S2552">
        <v>0</v>
      </c>
      <c r="T2552">
        <v>0</v>
      </c>
      <c r="U2552" s="1">
        <v>0</v>
      </c>
      <c r="V2552">
        <v>23.64</v>
      </c>
    </row>
    <row r="2553" spans="1:22" ht="15">
      <c r="A2553" s="4">
        <v>2546</v>
      </c>
      <c r="B2553">
        <v>1661</v>
      </c>
      <c r="C2553" t="s">
        <v>5496</v>
      </c>
      <c r="D2553" t="s">
        <v>121</v>
      </c>
      <c r="E2553" t="s">
        <v>499</v>
      </c>
      <c r="F2553" t="s">
        <v>5497</v>
      </c>
      <c r="G2553" t="str">
        <f>"00532424"</f>
        <v>00532424</v>
      </c>
      <c r="H2553">
        <v>23.6</v>
      </c>
      <c r="I2553">
        <v>0</v>
      </c>
      <c r="M2553">
        <v>0</v>
      </c>
      <c r="N2553">
        <v>0</v>
      </c>
      <c r="O2553">
        <v>0</v>
      </c>
      <c r="P2553">
        <v>23.6</v>
      </c>
      <c r="Q2553">
        <v>0</v>
      </c>
      <c r="R2553">
        <v>0</v>
      </c>
      <c r="S2553">
        <v>0</v>
      </c>
      <c r="T2553">
        <v>0</v>
      </c>
      <c r="U2553" s="1">
        <v>0</v>
      </c>
      <c r="V2553">
        <v>23.6</v>
      </c>
    </row>
    <row r="2554" spans="1:22" ht="15">
      <c r="A2554" s="4">
        <v>2547</v>
      </c>
      <c r="B2554">
        <v>1039</v>
      </c>
      <c r="C2554" t="s">
        <v>484</v>
      </c>
      <c r="D2554" t="s">
        <v>211</v>
      </c>
      <c r="E2554" t="s">
        <v>90</v>
      </c>
      <c r="F2554" t="s">
        <v>5498</v>
      </c>
      <c r="G2554" t="str">
        <f>"00474586"</f>
        <v>00474586</v>
      </c>
      <c r="H2554">
        <v>20.6</v>
      </c>
      <c r="I2554">
        <v>0</v>
      </c>
      <c r="M2554">
        <v>0</v>
      </c>
      <c r="N2554">
        <v>0</v>
      </c>
      <c r="O2554">
        <v>0</v>
      </c>
      <c r="P2554">
        <v>20.6</v>
      </c>
      <c r="Q2554">
        <v>0</v>
      </c>
      <c r="R2554">
        <v>0</v>
      </c>
      <c r="S2554">
        <v>3</v>
      </c>
      <c r="T2554">
        <v>0</v>
      </c>
      <c r="U2554" s="1">
        <v>0</v>
      </c>
      <c r="V2554">
        <v>23.6</v>
      </c>
    </row>
    <row r="2555" spans="1:22" ht="15">
      <c r="A2555" s="4">
        <v>2548</v>
      </c>
      <c r="B2555">
        <v>1738</v>
      </c>
      <c r="C2555" t="s">
        <v>5499</v>
      </c>
      <c r="D2555" t="s">
        <v>29</v>
      </c>
      <c r="E2555" t="s">
        <v>11</v>
      </c>
      <c r="F2555" t="s">
        <v>5500</v>
      </c>
      <c r="G2555" t="str">
        <f>"00527394"</f>
        <v>00527394</v>
      </c>
      <c r="H2555">
        <v>23.6</v>
      </c>
      <c r="I2555">
        <v>0</v>
      </c>
      <c r="M2555">
        <v>0</v>
      </c>
      <c r="N2555">
        <v>0</v>
      </c>
      <c r="O2555">
        <v>0</v>
      </c>
      <c r="P2555">
        <v>23.6</v>
      </c>
      <c r="Q2555">
        <v>0</v>
      </c>
      <c r="R2555">
        <v>0</v>
      </c>
      <c r="S2555">
        <v>0</v>
      </c>
      <c r="T2555">
        <v>0</v>
      </c>
      <c r="U2555" s="1">
        <v>0</v>
      </c>
      <c r="V2555">
        <v>23.6</v>
      </c>
    </row>
    <row r="2556" spans="1:22" ht="15">
      <c r="A2556" s="4">
        <v>2549</v>
      </c>
      <c r="B2556">
        <v>93</v>
      </c>
      <c r="C2556" t="s">
        <v>5501</v>
      </c>
      <c r="D2556" t="s">
        <v>5502</v>
      </c>
      <c r="E2556" t="s">
        <v>5503</v>
      </c>
      <c r="F2556" t="s">
        <v>5504</v>
      </c>
      <c r="G2556" t="str">
        <f>"00526298"</f>
        <v>00526298</v>
      </c>
      <c r="H2556">
        <v>21.6</v>
      </c>
      <c r="I2556">
        <v>0</v>
      </c>
      <c r="M2556">
        <v>0</v>
      </c>
      <c r="N2556">
        <v>0</v>
      </c>
      <c r="O2556">
        <v>2</v>
      </c>
      <c r="P2556">
        <v>23.6</v>
      </c>
      <c r="Q2556">
        <v>0</v>
      </c>
      <c r="R2556">
        <v>0</v>
      </c>
      <c r="S2556">
        <v>0</v>
      </c>
      <c r="T2556">
        <v>0</v>
      </c>
      <c r="U2556" s="1">
        <v>0</v>
      </c>
      <c r="V2556">
        <v>23.6</v>
      </c>
    </row>
    <row r="2557" spans="1:22" ht="15">
      <c r="A2557" s="4">
        <v>2550</v>
      </c>
      <c r="B2557">
        <v>3039</v>
      </c>
      <c r="C2557" t="s">
        <v>5505</v>
      </c>
      <c r="D2557" t="s">
        <v>76</v>
      </c>
      <c r="E2557" t="s">
        <v>23</v>
      </c>
      <c r="F2557" t="s">
        <v>5506</v>
      </c>
      <c r="G2557" t="str">
        <f>"201511019752"</f>
        <v>201511019752</v>
      </c>
      <c r="H2557">
        <v>14.4</v>
      </c>
      <c r="I2557">
        <v>0</v>
      </c>
      <c r="M2557">
        <v>0</v>
      </c>
      <c r="N2557">
        <v>0</v>
      </c>
      <c r="O2557">
        <v>0</v>
      </c>
      <c r="P2557">
        <v>14.4</v>
      </c>
      <c r="Q2557">
        <v>0</v>
      </c>
      <c r="R2557">
        <v>0</v>
      </c>
      <c r="S2557">
        <v>9</v>
      </c>
      <c r="T2557">
        <v>0</v>
      </c>
      <c r="U2557" s="1">
        <v>0</v>
      </c>
      <c r="V2557">
        <v>23.4</v>
      </c>
    </row>
    <row r="2558" spans="1:22" ht="15">
      <c r="A2558" s="4">
        <v>2551</v>
      </c>
      <c r="B2558">
        <v>3209</v>
      </c>
      <c r="C2558" t="s">
        <v>5507</v>
      </c>
      <c r="D2558" t="s">
        <v>89</v>
      </c>
      <c r="E2558" t="s">
        <v>157</v>
      </c>
      <c r="F2558" t="s">
        <v>5508</v>
      </c>
      <c r="G2558" t="str">
        <f>"00442053"</f>
        <v>00442053</v>
      </c>
      <c r="H2558">
        <v>14.4</v>
      </c>
      <c r="I2558">
        <v>0</v>
      </c>
      <c r="M2558">
        <v>0</v>
      </c>
      <c r="N2558">
        <v>0</v>
      </c>
      <c r="O2558">
        <v>0</v>
      </c>
      <c r="P2558">
        <v>14.4</v>
      </c>
      <c r="Q2558">
        <v>9</v>
      </c>
      <c r="R2558">
        <v>9</v>
      </c>
      <c r="S2558">
        <v>0</v>
      </c>
      <c r="T2558">
        <v>0</v>
      </c>
      <c r="U2558" s="1">
        <v>0</v>
      </c>
      <c r="V2558">
        <v>23.4</v>
      </c>
    </row>
    <row r="2559" spans="1:22" ht="15">
      <c r="A2559" s="4">
        <v>2552</v>
      </c>
      <c r="B2559">
        <v>243</v>
      </c>
      <c r="C2559" t="s">
        <v>5509</v>
      </c>
      <c r="D2559" t="s">
        <v>826</v>
      </c>
      <c r="E2559" t="s">
        <v>86</v>
      </c>
      <c r="F2559" t="s">
        <v>5510</v>
      </c>
      <c r="G2559" t="str">
        <f>"00518235"</f>
        <v>00518235</v>
      </c>
      <c r="H2559">
        <v>14.4</v>
      </c>
      <c r="I2559">
        <v>0</v>
      </c>
      <c r="M2559">
        <v>0</v>
      </c>
      <c r="N2559">
        <v>0</v>
      </c>
      <c r="O2559">
        <v>0</v>
      </c>
      <c r="P2559">
        <v>14.4</v>
      </c>
      <c r="Q2559">
        <v>0</v>
      </c>
      <c r="R2559">
        <v>0</v>
      </c>
      <c r="S2559">
        <v>9</v>
      </c>
      <c r="T2559">
        <v>0</v>
      </c>
      <c r="U2559" s="1">
        <v>0</v>
      </c>
      <c r="V2559">
        <v>23.4</v>
      </c>
    </row>
    <row r="2560" spans="1:22" ht="15">
      <c r="A2560" s="4">
        <v>2553</v>
      </c>
      <c r="B2560">
        <v>158</v>
      </c>
      <c r="C2560" t="s">
        <v>5511</v>
      </c>
      <c r="D2560" t="s">
        <v>1346</v>
      </c>
      <c r="E2560" t="s">
        <v>73</v>
      </c>
      <c r="F2560" t="s">
        <v>5512</v>
      </c>
      <c r="G2560" t="str">
        <f>"00170221"</f>
        <v>00170221</v>
      </c>
      <c r="H2560">
        <v>14.4</v>
      </c>
      <c r="I2560">
        <v>0</v>
      </c>
      <c r="M2560">
        <v>4</v>
      </c>
      <c r="N2560">
        <v>0</v>
      </c>
      <c r="O2560">
        <v>0</v>
      </c>
      <c r="P2560">
        <v>18.4</v>
      </c>
      <c r="Q2560">
        <v>5</v>
      </c>
      <c r="R2560">
        <v>5</v>
      </c>
      <c r="S2560">
        <v>0</v>
      </c>
      <c r="T2560">
        <v>0</v>
      </c>
      <c r="U2560" s="1">
        <v>0</v>
      </c>
      <c r="V2560">
        <v>23.4</v>
      </c>
    </row>
    <row r="2561" spans="1:22" ht="15">
      <c r="A2561" s="4">
        <v>2554</v>
      </c>
      <c r="B2561">
        <v>2682</v>
      </c>
      <c r="C2561" t="s">
        <v>5513</v>
      </c>
      <c r="D2561" t="s">
        <v>259</v>
      </c>
      <c r="E2561" t="s">
        <v>11</v>
      </c>
      <c r="F2561" t="s">
        <v>5514</v>
      </c>
      <c r="G2561" t="str">
        <f>"00530873"</f>
        <v>00530873</v>
      </c>
      <c r="H2561">
        <v>14.4</v>
      </c>
      <c r="I2561">
        <v>0</v>
      </c>
      <c r="M2561">
        <v>4</v>
      </c>
      <c r="N2561">
        <v>0</v>
      </c>
      <c r="O2561">
        <v>0</v>
      </c>
      <c r="P2561">
        <v>18.4</v>
      </c>
      <c r="Q2561">
        <v>5</v>
      </c>
      <c r="R2561">
        <v>5</v>
      </c>
      <c r="S2561">
        <v>0</v>
      </c>
      <c r="T2561">
        <v>0</v>
      </c>
      <c r="U2561" s="1">
        <v>0</v>
      </c>
      <c r="V2561">
        <v>23.4</v>
      </c>
    </row>
    <row r="2562" spans="1:22" ht="15">
      <c r="A2562" s="4">
        <v>2555</v>
      </c>
      <c r="B2562">
        <v>1546</v>
      </c>
      <c r="C2562" t="s">
        <v>5515</v>
      </c>
      <c r="D2562" t="s">
        <v>193</v>
      </c>
      <c r="E2562" t="s">
        <v>23</v>
      </c>
      <c r="F2562" t="s">
        <v>5516</v>
      </c>
      <c r="G2562" t="str">
        <f>"00531264"</f>
        <v>00531264</v>
      </c>
      <c r="H2562">
        <v>13.32</v>
      </c>
      <c r="I2562">
        <v>0</v>
      </c>
      <c r="M2562">
        <v>0</v>
      </c>
      <c r="N2562">
        <v>0</v>
      </c>
      <c r="O2562">
        <v>0</v>
      </c>
      <c r="P2562">
        <v>13.32</v>
      </c>
      <c r="Q2562">
        <v>7</v>
      </c>
      <c r="R2562">
        <v>7</v>
      </c>
      <c r="S2562">
        <v>3</v>
      </c>
      <c r="T2562">
        <v>0</v>
      </c>
      <c r="U2562" s="1">
        <v>0</v>
      </c>
      <c r="V2562">
        <v>23.32</v>
      </c>
    </row>
    <row r="2563" spans="1:22" ht="15">
      <c r="A2563" s="4">
        <v>2556</v>
      </c>
      <c r="B2563">
        <v>1042</v>
      </c>
      <c r="C2563" t="s">
        <v>5517</v>
      </c>
      <c r="D2563" t="s">
        <v>1445</v>
      </c>
      <c r="E2563" t="s">
        <v>30</v>
      </c>
      <c r="F2563" t="s">
        <v>5518</v>
      </c>
      <c r="G2563" t="str">
        <f>"201409003823"</f>
        <v>201409003823</v>
      </c>
      <c r="H2563">
        <v>23.28</v>
      </c>
      <c r="I2563">
        <v>0</v>
      </c>
      <c r="M2563">
        <v>0</v>
      </c>
      <c r="N2563">
        <v>0</v>
      </c>
      <c r="O2563">
        <v>0</v>
      </c>
      <c r="P2563">
        <v>23.28</v>
      </c>
      <c r="Q2563">
        <v>0</v>
      </c>
      <c r="R2563">
        <v>0</v>
      </c>
      <c r="S2563">
        <v>0</v>
      </c>
      <c r="T2563">
        <v>0</v>
      </c>
      <c r="U2563" s="1">
        <v>0</v>
      </c>
      <c r="V2563">
        <v>23.28</v>
      </c>
    </row>
    <row r="2564" spans="1:22" ht="15">
      <c r="A2564" s="4">
        <v>2557</v>
      </c>
      <c r="B2564">
        <v>2218</v>
      </c>
      <c r="C2564" t="s">
        <v>1242</v>
      </c>
      <c r="D2564" t="s">
        <v>211</v>
      </c>
      <c r="E2564" t="s">
        <v>83</v>
      </c>
      <c r="F2564" t="s">
        <v>5519</v>
      </c>
      <c r="G2564" t="str">
        <f>"00524872"</f>
        <v>00524872</v>
      </c>
      <c r="H2564">
        <v>17.08</v>
      </c>
      <c r="I2564">
        <v>0</v>
      </c>
      <c r="M2564">
        <v>0</v>
      </c>
      <c r="N2564">
        <v>0</v>
      </c>
      <c r="O2564">
        <v>0</v>
      </c>
      <c r="P2564">
        <v>17.08</v>
      </c>
      <c r="Q2564">
        <v>0</v>
      </c>
      <c r="R2564">
        <v>0</v>
      </c>
      <c r="S2564">
        <v>6</v>
      </c>
      <c r="T2564">
        <v>0</v>
      </c>
      <c r="U2564" s="1">
        <v>0</v>
      </c>
      <c r="V2564">
        <v>23.08</v>
      </c>
    </row>
    <row r="2565" spans="1:22" ht="15">
      <c r="A2565" s="4">
        <v>2558</v>
      </c>
      <c r="B2565">
        <v>600</v>
      </c>
      <c r="C2565" t="s">
        <v>96</v>
      </c>
      <c r="D2565" t="s">
        <v>643</v>
      </c>
      <c r="E2565" t="s">
        <v>11</v>
      </c>
      <c r="F2565" t="s">
        <v>5520</v>
      </c>
      <c r="G2565" t="str">
        <f>"00441943"</f>
        <v>00441943</v>
      </c>
      <c r="H2565">
        <v>17.08</v>
      </c>
      <c r="I2565">
        <v>0</v>
      </c>
      <c r="M2565">
        <v>0</v>
      </c>
      <c r="N2565">
        <v>0</v>
      </c>
      <c r="O2565">
        <v>0</v>
      </c>
      <c r="P2565">
        <v>17.08</v>
      </c>
      <c r="Q2565">
        <v>6</v>
      </c>
      <c r="R2565">
        <v>6</v>
      </c>
      <c r="S2565">
        <v>0</v>
      </c>
      <c r="T2565">
        <v>0</v>
      </c>
      <c r="U2565" s="1">
        <v>0</v>
      </c>
      <c r="V2565">
        <v>23.08</v>
      </c>
    </row>
    <row r="2566" spans="1:22" ht="15">
      <c r="A2566" s="4">
        <v>2559</v>
      </c>
      <c r="B2566">
        <v>1875</v>
      </c>
      <c r="C2566" t="s">
        <v>5521</v>
      </c>
      <c r="D2566" t="s">
        <v>3181</v>
      </c>
      <c r="E2566" t="s">
        <v>15</v>
      </c>
      <c r="F2566" t="s">
        <v>5522</v>
      </c>
      <c r="G2566" t="str">
        <f>"00528484"</f>
        <v>00528484</v>
      </c>
      <c r="H2566">
        <v>20</v>
      </c>
      <c r="I2566">
        <v>0</v>
      </c>
      <c r="M2566">
        <v>0</v>
      </c>
      <c r="N2566">
        <v>0</v>
      </c>
      <c r="O2566">
        <v>0</v>
      </c>
      <c r="P2566">
        <v>20</v>
      </c>
      <c r="Q2566">
        <v>0</v>
      </c>
      <c r="R2566">
        <v>0</v>
      </c>
      <c r="S2566">
        <v>3</v>
      </c>
      <c r="T2566">
        <v>0</v>
      </c>
      <c r="U2566" s="1" t="s">
        <v>6251</v>
      </c>
      <c r="V2566">
        <v>23</v>
      </c>
    </row>
    <row r="2567" spans="1:22" ht="15">
      <c r="A2567" s="4">
        <v>2560</v>
      </c>
      <c r="B2567">
        <v>1902</v>
      </c>
      <c r="C2567" t="s">
        <v>5523</v>
      </c>
      <c r="D2567" t="s">
        <v>102</v>
      </c>
      <c r="E2567" t="s">
        <v>51</v>
      </c>
      <c r="F2567" t="s">
        <v>5524</v>
      </c>
      <c r="G2567" t="str">
        <f>"00525167"</f>
        <v>00525167</v>
      </c>
      <c r="H2567">
        <v>22.92</v>
      </c>
      <c r="I2567">
        <v>0</v>
      </c>
      <c r="M2567">
        <v>0</v>
      </c>
      <c r="N2567">
        <v>0</v>
      </c>
      <c r="O2567">
        <v>0</v>
      </c>
      <c r="P2567">
        <v>22.92</v>
      </c>
      <c r="Q2567">
        <v>0</v>
      </c>
      <c r="R2567">
        <v>0</v>
      </c>
      <c r="S2567">
        <v>0</v>
      </c>
      <c r="T2567">
        <v>0</v>
      </c>
      <c r="U2567" s="1">
        <v>0</v>
      </c>
      <c r="V2567">
        <v>22.92</v>
      </c>
    </row>
    <row r="2568" spans="1:22" ht="15">
      <c r="A2568" s="4">
        <v>2561</v>
      </c>
      <c r="B2568">
        <v>2</v>
      </c>
      <c r="C2568" t="s">
        <v>5525</v>
      </c>
      <c r="D2568" t="s">
        <v>130</v>
      </c>
      <c r="E2568" t="s">
        <v>5526</v>
      </c>
      <c r="F2568" t="s">
        <v>5527</v>
      </c>
      <c r="G2568" t="str">
        <f>"00141541"</f>
        <v>00141541</v>
      </c>
      <c r="H2568">
        <v>22.8</v>
      </c>
      <c r="I2568">
        <v>0</v>
      </c>
      <c r="M2568">
        <v>0</v>
      </c>
      <c r="N2568">
        <v>0</v>
      </c>
      <c r="O2568">
        <v>0</v>
      </c>
      <c r="P2568">
        <v>22.8</v>
      </c>
      <c r="Q2568">
        <v>0</v>
      </c>
      <c r="R2568">
        <v>0</v>
      </c>
      <c r="S2568">
        <v>0</v>
      </c>
      <c r="T2568">
        <v>0</v>
      </c>
      <c r="U2568" s="1">
        <v>0</v>
      </c>
      <c r="V2568">
        <v>22.8</v>
      </c>
    </row>
    <row r="2569" spans="1:22" ht="15">
      <c r="A2569" s="4">
        <v>2562</v>
      </c>
      <c r="B2569">
        <v>3178</v>
      </c>
      <c r="C2569" t="s">
        <v>3070</v>
      </c>
      <c r="D2569" t="s">
        <v>1492</v>
      </c>
      <c r="E2569" t="s">
        <v>327</v>
      </c>
      <c r="F2569" t="s">
        <v>5528</v>
      </c>
      <c r="G2569" t="str">
        <f>"00367965"</f>
        <v>00367965</v>
      </c>
      <c r="H2569">
        <v>16.72</v>
      </c>
      <c r="I2569">
        <v>0</v>
      </c>
      <c r="M2569">
        <v>0</v>
      </c>
      <c r="N2569">
        <v>0</v>
      </c>
      <c r="O2569">
        <v>0</v>
      </c>
      <c r="P2569">
        <v>16.72</v>
      </c>
      <c r="Q2569">
        <v>0</v>
      </c>
      <c r="R2569">
        <v>0</v>
      </c>
      <c r="S2569">
        <v>6</v>
      </c>
      <c r="T2569">
        <v>0</v>
      </c>
      <c r="U2569" s="1">
        <v>0</v>
      </c>
      <c r="V2569">
        <v>22.72</v>
      </c>
    </row>
    <row r="2570" spans="1:22" ht="15">
      <c r="A2570" s="4">
        <v>2563</v>
      </c>
      <c r="B2570">
        <v>1145</v>
      </c>
      <c r="C2570" t="s">
        <v>5529</v>
      </c>
      <c r="D2570" t="s">
        <v>5530</v>
      </c>
      <c r="E2570" t="s">
        <v>83</v>
      </c>
      <c r="F2570" t="s">
        <v>5531</v>
      </c>
      <c r="G2570" t="str">
        <f>"201511026874"</f>
        <v>201511026874</v>
      </c>
      <c r="H2570">
        <v>8.72</v>
      </c>
      <c r="I2570">
        <v>0</v>
      </c>
      <c r="L2570">
        <v>4</v>
      </c>
      <c r="M2570">
        <v>4</v>
      </c>
      <c r="N2570">
        <v>4</v>
      </c>
      <c r="O2570">
        <v>0</v>
      </c>
      <c r="P2570">
        <v>16.72</v>
      </c>
      <c r="Q2570">
        <v>0</v>
      </c>
      <c r="R2570">
        <v>0</v>
      </c>
      <c r="S2570">
        <v>6</v>
      </c>
      <c r="T2570">
        <v>0</v>
      </c>
      <c r="U2570" s="1">
        <v>0</v>
      </c>
      <c r="V2570">
        <v>22.72</v>
      </c>
    </row>
    <row r="2571" spans="1:22" ht="15">
      <c r="A2571" s="4">
        <v>2564</v>
      </c>
      <c r="B2571">
        <v>1785</v>
      </c>
      <c r="C2571" t="s">
        <v>5532</v>
      </c>
      <c r="D2571" t="s">
        <v>40</v>
      </c>
      <c r="E2571" t="s">
        <v>19</v>
      </c>
      <c r="F2571" t="s">
        <v>5533</v>
      </c>
      <c r="G2571" t="str">
        <f>"00530296"</f>
        <v>00530296</v>
      </c>
      <c r="H2571">
        <v>14.4</v>
      </c>
      <c r="I2571">
        <v>0</v>
      </c>
      <c r="L2571">
        <v>4</v>
      </c>
      <c r="M2571">
        <v>4</v>
      </c>
      <c r="N2571">
        <v>4</v>
      </c>
      <c r="O2571">
        <v>0</v>
      </c>
      <c r="P2571">
        <v>22.4</v>
      </c>
      <c r="Q2571">
        <v>0</v>
      </c>
      <c r="R2571">
        <v>0</v>
      </c>
      <c r="S2571">
        <v>0</v>
      </c>
      <c r="T2571">
        <v>0</v>
      </c>
      <c r="U2571" s="1">
        <v>0</v>
      </c>
      <c r="V2571">
        <v>22.4</v>
      </c>
    </row>
    <row r="2572" spans="1:22" ht="15">
      <c r="A2572" s="4">
        <v>2565</v>
      </c>
      <c r="B2572">
        <v>1728</v>
      </c>
      <c r="C2572" t="s">
        <v>3959</v>
      </c>
      <c r="D2572" t="s">
        <v>582</v>
      </c>
      <c r="E2572" t="s">
        <v>86</v>
      </c>
      <c r="F2572" t="s">
        <v>5534</v>
      </c>
      <c r="G2572" t="str">
        <f>"00159791"</f>
        <v>00159791</v>
      </c>
      <c r="H2572">
        <v>14.4</v>
      </c>
      <c r="I2572">
        <v>0</v>
      </c>
      <c r="L2572">
        <v>4</v>
      </c>
      <c r="M2572">
        <v>4</v>
      </c>
      <c r="N2572">
        <v>4</v>
      </c>
      <c r="O2572">
        <v>0</v>
      </c>
      <c r="P2572">
        <v>22.4</v>
      </c>
      <c r="Q2572">
        <v>0</v>
      </c>
      <c r="R2572">
        <v>0</v>
      </c>
      <c r="S2572">
        <v>0</v>
      </c>
      <c r="T2572">
        <v>0</v>
      </c>
      <c r="U2572" s="1">
        <v>0</v>
      </c>
      <c r="V2572">
        <v>22.4</v>
      </c>
    </row>
    <row r="2573" spans="1:22" ht="15">
      <c r="A2573" s="4">
        <v>2566</v>
      </c>
      <c r="B2573">
        <v>2032</v>
      </c>
      <c r="C2573" t="s">
        <v>5535</v>
      </c>
      <c r="D2573" t="s">
        <v>40</v>
      </c>
      <c r="E2573" t="s">
        <v>2485</v>
      </c>
      <c r="F2573" t="s">
        <v>5536</v>
      </c>
      <c r="G2573" t="str">
        <f>"00511106"</f>
        <v>00511106</v>
      </c>
      <c r="H2573">
        <v>14.4</v>
      </c>
      <c r="I2573">
        <v>0</v>
      </c>
      <c r="L2573">
        <v>4</v>
      </c>
      <c r="M2573">
        <v>4</v>
      </c>
      <c r="N2573">
        <v>4</v>
      </c>
      <c r="O2573">
        <v>0</v>
      </c>
      <c r="P2573">
        <v>22.4</v>
      </c>
      <c r="Q2573">
        <v>0</v>
      </c>
      <c r="R2573">
        <v>0</v>
      </c>
      <c r="S2573">
        <v>0</v>
      </c>
      <c r="T2573">
        <v>0</v>
      </c>
      <c r="U2573" s="1">
        <v>0</v>
      </c>
      <c r="V2573">
        <v>22.4</v>
      </c>
    </row>
    <row r="2574" spans="1:22" ht="15">
      <c r="A2574" s="4">
        <v>2567</v>
      </c>
      <c r="B2574">
        <v>2325</v>
      </c>
      <c r="C2574" t="s">
        <v>5537</v>
      </c>
      <c r="D2574" t="s">
        <v>5538</v>
      </c>
      <c r="E2574" t="s">
        <v>19</v>
      </c>
      <c r="F2574" t="s">
        <v>5539</v>
      </c>
      <c r="G2574" t="str">
        <f>"201402010679"</f>
        <v>201402010679</v>
      </c>
      <c r="H2574">
        <v>14.4</v>
      </c>
      <c r="I2574">
        <v>0</v>
      </c>
      <c r="L2574">
        <v>4</v>
      </c>
      <c r="M2574">
        <v>4</v>
      </c>
      <c r="N2574">
        <v>4</v>
      </c>
      <c r="O2574">
        <v>0</v>
      </c>
      <c r="P2574">
        <v>22.4</v>
      </c>
      <c r="Q2574">
        <v>0</v>
      </c>
      <c r="R2574">
        <v>0</v>
      </c>
      <c r="S2574">
        <v>0</v>
      </c>
      <c r="T2574">
        <v>0</v>
      </c>
      <c r="U2574" s="1">
        <v>0</v>
      </c>
      <c r="V2574">
        <v>22.4</v>
      </c>
    </row>
    <row r="2575" spans="1:22" ht="15">
      <c r="A2575" s="4">
        <v>2568</v>
      </c>
      <c r="B2575">
        <v>3187</v>
      </c>
      <c r="C2575" t="s">
        <v>5540</v>
      </c>
      <c r="D2575" t="s">
        <v>1034</v>
      </c>
      <c r="E2575" t="s">
        <v>1401</v>
      </c>
      <c r="F2575" t="s">
        <v>5541</v>
      </c>
      <c r="G2575" t="str">
        <f>"201511034585"</f>
        <v>201511034585</v>
      </c>
      <c r="H2575">
        <v>14.4</v>
      </c>
      <c r="I2575">
        <v>0</v>
      </c>
      <c r="L2575">
        <v>4</v>
      </c>
      <c r="M2575">
        <v>4</v>
      </c>
      <c r="N2575">
        <v>4</v>
      </c>
      <c r="O2575">
        <v>0</v>
      </c>
      <c r="P2575">
        <v>22.4</v>
      </c>
      <c r="Q2575">
        <v>0</v>
      </c>
      <c r="R2575">
        <v>0</v>
      </c>
      <c r="S2575">
        <v>0</v>
      </c>
      <c r="T2575">
        <v>0</v>
      </c>
      <c r="U2575" s="1">
        <v>0</v>
      </c>
      <c r="V2575">
        <v>22.4</v>
      </c>
    </row>
    <row r="2576" spans="1:22" ht="15">
      <c r="A2576" s="4">
        <v>2569</v>
      </c>
      <c r="B2576">
        <v>458</v>
      </c>
      <c r="C2576" t="s">
        <v>5542</v>
      </c>
      <c r="D2576" t="s">
        <v>40</v>
      </c>
      <c r="E2576" t="s">
        <v>403</v>
      </c>
      <c r="F2576" t="s">
        <v>5543</v>
      </c>
      <c r="G2576" t="str">
        <f>"00502000"</f>
        <v>00502000</v>
      </c>
      <c r="H2576">
        <v>14.4</v>
      </c>
      <c r="I2576">
        <v>0</v>
      </c>
      <c r="L2576">
        <v>4</v>
      </c>
      <c r="M2576">
        <v>4</v>
      </c>
      <c r="N2576">
        <v>4</v>
      </c>
      <c r="O2576">
        <v>0</v>
      </c>
      <c r="P2576">
        <v>22.4</v>
      </c>
      <c r="Q2576">
        <v>0</v>
      </c>
      <c r="R2576">
        <v>0</v>
      </c>
      <c r="S2576">
        <v>0</v>
      </c>
      <c r="T2576">
        <v>0</v>
      </c>
      <c r="U2576" s="1">
        <v>0</v>
      </c>
      <c r="V2576">
        <v>22.4</v>
      </c>
    </row>
    <row r="2577" spans="1:22" ht="15">
      <c r="A2577" s="4">
        <v>2570</v>
      </c>
      <c r="B2577">
        <v>30</v>
      </c>
      <c r="C2577" t="s">
        <v>4197</v>
      </c>
      <c r="D2577" t="s">
        <v>22</v>
      </c>
      <c r="E2577" t="s">
        <v>157</v>
      </c>
      <c r="F2577" t="s">
        <v>5544</v>
      </c>
      <c r="G2577" t="str">
        <f>"00510937"</f>
        <v>00510937</v>
      </c>
      <c r="H2577">
        <v>14.4</v>
      </c>
      <c r="I2577">
        <v>0</v>
      </c>
      <c r="L2577">
        <v>4</v>
      </c>
      <c r="M2577">
        <v>4</v>
      </c>
      <c r="N2577">
        <v>4</v>
      </c>
      <c r="O2577">
        <v>0</v>
      </c>
      <c r="P2577">
        <v>22.4</v>
      </c>
      <c r="Q2577">
        <v>0</v>
      </c>
      <c r="R2577">
        <v>0</v>
      </c>
      <c r="S2577">
        <v>0</v>
      </c>
      <c r="T2577">
        <v>0</v>
      </c>
      <c r="U2577" s="1">
        <v>0</v>
      </c>
      <c r="V2577">
        <v>22.4</v>
      </c>
    </row>
    <row r="2578" spans="1:22" ht="15">
      <c r="A2578" s="4">
        <v>2571</v>
      </c>
      <c r="B2578">
        <v>2345</v>
      </c>
      <c r="C2578" t="s">
        <v>3091</v>
      </c>
      <c r="D2578" t="s">
        <v>68</v>
      </c>
      <c r="E2578" t="s">
        <v>15</v>
      </c>
      <c r="F2578" t="s">
        <v>5545</v>
      </c>
      <c r="G2578" t="str">
        <f>"00531476"</f>
        <v>00531476</v>
      </c>
      <c r="H2578">
        <v>14.4</v>
      </c>
      <c r="I2578">
        <v>0</v>
      </c>
      <c r="L2578">
        <v>4</v>
      </c>
      <c r="M2578">
        <v>4</v>
      </c>
      <c r="N2578">
        <v>4</v>
      </c>
      <c r="O2578">
        <v>0</v>
      </c>
      <c r="P2578">
        <v>22.4</v>
      </c>
      <c r="Q2578">
        <v>0</v>
      </c>
      <c r="R2578">
        <v>0</v>
      </c>
      <c r="S2578">
        <v>0</v>
      </c>
      <c r="T2578">
        <v>0</v>
      </c>
      <c r="U2578" s="1">
        <v>0</v>
      </c>
      <c r="V2578">
        <v>22.4</v>
      </c>
    </row>
    <row r="2579" spans="1:22" ht="15">
      <c r="A2579" s="4">
        <v>2572</v>
      </c>
      <c r="B2579">
        <v>3202</v>
      </c>
      <c r="C2579" t="s">
        <v>5546</v>
      </c>
      <c r="D2579" t="s">
        <v>89</v>
      </c>
      <c r="E2579" t="s">
        <v>99</v>
      </c>
      <c r="F2579" t="s">
        <v>5547</v>
      </c>
      <c r="G2579" t="str">
        <f>"00505597"</f>
        <v>00505597</v>
      </c>
      <c r="H2579">
        <v>16.28</v>
      </c>
      <c r="I2579">
        <v>0</v>
      </c>
      <c r="M2579">
        <v>0</v>
      </c>
      <c r="N2579">
        <v>0</v>
      </c>
      <c r="O2579">
        <v>0</v>
      </c>
      <c r="P2579">
        <v>16.28</v>
      </c>
      <c r="Q2579">
        <v>0</v>
      </c>
      <c r="R2579">
        <v>0</v>
      </c>
      <c r="S2579">
        <v>6</v>
      </c>
      <c r="T2579">
        <v>0</v>
      </c>
      <c r="U2579" s="1">
        <v>0</v>
      </c>
      <c r="V2579">
        <v>22.28</v>
      </c>
    </row>
    <row r="2580" spans="1:22" ht="15">
      <c r="A2580" s="4">
        <v>2573</v>
      </c>
      <c r="B2580">
        <v>3387</v>
      </c>
      <c r="C2580" t="s">
        <v>570</v>
      </c>
      <c r="D2580" t="s">
        <v>102</v>
      </c>
      <c r="E2580" t="s">
        <v>23</v>
      </c>
      <c r="F2580" t="s">
        <v>5548</v>
      </c>
      <c r="G2580" t="str">
        <f>"00533138"</f>
        <v>00533138</v>
      </c>
      <c r="H2580">
        <v>16.28</v>
      </c>
      <c r="I2580">
        <v>0</v>
      </c>
      <c r="M2580">
        <v>0</v>
      </c>
      <c r="N2580">
        <v>0</v>
      </c>
      <c r="O2580">
        <v>0</v>
      </c>
      <c r="P2580">
        <v>16.28</v>
      </c>
      <c r="Q2580">
        <v>0</v>
      </c>
      <c r="R2580">
        <v>0</v>
      </c>
      <c r="S2580">
        <v>6</v>
      </c>
      <c r="T2580">
        <v>0</v>
      </c>
      <c r="U2580" s="1">
        <v>0</v>
      </c>
      <c r="V2580">
        <v>22.28</v>
      </c>
    </row>
    <row r="2581" spans="1:22" ht="15">
      <c r="A2581" s="4">
        <v>2574</v>
      </c>
      <c r="B2581">
        <v>870</v>
      </c>
      <c r="C2581" t="s">
        <v>2485</v>
      </c>
      <c r="D2581" t="s">
        <v>179</v>
      </c>
      <c r="E2581" t="s">
        <v>73</v>
      </c>
      <c r="F2581" t="s">
        <v>5549</v>
      </c>
      <c r="G2581" t="str">
        <f>"00530032"</f>
        <v>00530032</v>
      </c>
      <c r="H2581">
        <v>19.2</v>
      </c>
      <c r="I2581">
        <v>0</v>
      </c>
      <c r="M2581">
        <v>0</v>
      </c>
      <c r="N2581">
        <v>0</v>
      </c>
      <c r="O2581">
        <v>0</v>
      </c>
      <c r="P2581">
        <v>19.2</v>
      </c>
      <c r="Q2581">
        <v>0</v>
      </c>
      <c r="R2581">
        <v>0</v>
      </c>
      <c r="S2581">
        <v>3</v>
      </c>
      <c r="T2581">
        <v>0</v>
      </c>
      <c r="U2581" s="1">
        <v>0</v>
      </c>
      <c r="V2581">
        <v>22.2</v>
      </c>
    </row>
    <row r="2582" spans="1:22" ht="15">
      <c r="A2582" s="4">
        <v>2575</v>
      </c>
      <c r="B2582">
        <v>2839</v>
      </c>
      <c r="C2582" t="s">
        <v>5550</v>
      </c>
      <c r="D2582" t="s">
        <v>2217</v>
      </c>
      <c r="E2582" t="s">
        <v>90</v>
      </c>
      <c r="F2582" t="s">
        <v>5551</v>
      </c>
      <c r="G2582" t="str">
        <f>"201107000089"</f>
        <v>201107000089</v>
      </c>
      <c r="H2582">
        <v>19.2</v>
      </c>
      <c r="I2582">
        <v>0</v>
      </c>
      <c r="M2582">
        <v>0</v>
      </c>
      <c r="N2582">
        <v>0</v>
      </c>
      <c r="O2582">
        <v>0</v>
      </c>
      <c r="P2582">
        <v>19.2</v>
      </c>
      <c r="Q2582">
        <v>0</v>
      </c>
      <c r="R2582">
        <v>0</v>
      </c>
      <c r="S2582">
        <v>3</v>
      </c>
      <c r="T2582">
        <v>0</v>
      </c>
      <c r="U2582" s="1">
        <v>0</v>
      </c>
      <c r="V2582">
        <v>22.2</v>
      </c>
    </row>
    <row r="2583" spans="1:22" ht="15">
      <c r="A2583" s="4">
        <v>2576</v>
      </c>
      <c r="B2583">
        <v>311</v>
      </c>
      <c r="C2583" t="s">
        <v>5353</v>
      </c>
      <c r="D2583" t="s">
        <v>26</v>
      </c>
      <c r="E2583" t="s">
        <v>183</v>
      </c>
      <c r="F2583" t="s">
        <v>5552</v>
      </c>
      <c r="G2583" t="str">
        <f>"00161796"</f>
        <v>00161796</v>
      </c>
      <c r="H2583">
        <v>7.2</v>
      </c>
      <c r="I2583">
        <v>0</v>
      </c>
      <c r="M2583">
        <v>4</v>
      </c>
      <c r="N2583">
        <v>0</v>
      </c>
      <c r="O2583">
        <v>0</v>
      </c>
      <c r="P2583">
        <v>11.2</v>
      </c>
      <c r="Q2583">
        <v>11</v>
      </c>
      <c r="R2583">
        <v>11</v>
      </c>
      <c r="S2583">
        <v>0</v>
      </c>
      <c r="T2583">
        <v>0</v>
      </c>
      <c r="U2583" s="1">
        <v>0</v>
      </c>
      <c r="V2583">
        <v>22.2</v>
      </c>
    </row>
    <row r="2584" spans="1:22" ht="15">
      <c r="A2584" s="4">
        <v>2577</v>
      </c>
      <c r="B2584">
        <v>62</v>
      </c>
      <c r="C2584" t="s">
        <v>5553</v>
      </c>
      <c r="D2584" t="s">
        <v>493</v>
      </c>
      <c r="E2584" t="s">
        <v>86</v>
      </c>
      <c r="F2584" t="s">
        <v>5554</v>
      </c>
      <c r="G2584" t="str">
        <f>"00498070"</f>
        <v>00498070</v>
      </c>
      <c r="H2584">
        <v>16</v>
      </c>
      <c r="I2584">
        <v>0</v>
      </c>
      <c r="M2584">
        <v>4</v>
      </c>
      <c r="N2584">
        <v>0</v>
      </c>
      <c r="O2584">
        <v>0</v>
      </c>
      <c r="P2584">
        <v>20</v>
      </c>
      <c r="Q2584">
        <v>2</v>
      </c>
      <c r="R2584">
        <v>2</v>
      </c>
      <c r="S2584">
        <v>0</v>
      </c>
      <c r="T2584">
        <v>0</v>
      </c>
      <c r="U2584" s="1">
        <v>0</v>
      </c>
      <c r="V2584">
        <v>22</v>
      </c>
    </row>
    <row r="2585" spans="1:22" ht="15">
      <c r="A2585" s="4">
        <v>2578</v>
      </c>
      <c r="B2585">
        <v>723</v>
      </c>
      <c r="C2585" t="s">
        <v>5555</v>
      </c>
      <c r="D2585" t="s">
        <v>115</v>
      </c>
      <c r="E2585" t="s">
        <v>23</v>
      </c>
      <c r="F2585" t="s">
        <v>5556</v>
      </c>
      <c r="G2585" t="str">
        <f>"00515177"</f>
        <v>00515177</v>
      </c>
      <c r="H2585">
        <v>0</v>
      </c>
      <c r="I2585">
        <v>10</v>
      </c>
      <c r="M2585">
        <v>4</v>
      </c>
      <c r="N2585">
        <v>0</v>
      </c>
      <c r="O2585">
        <v>2</v>
      </c>
      <c r="P2585">
        <v>16</v>
      </c>
      <c r="Q2585">
        <v>0</v>
      </c>
      <c r="R2585">
        <v>0</v>
      </c>
      <c r="S2585">
        <v>6</v>
      </c>
      <c r="T2585">
        <v>0</v>
      </c>
      <c r="U2585" s="1">
        <v>0</v>
      </c>
      <c r="V2585">
        <v>22</v>
      </c>
    </row>
    <row r="2586" spans="1:22" ht="15">
      <c r="A2586" s="4">
        <v>2579</v>
      </c>
      <c r="B2586">
        <v>2095</v>
      </c>
      <c r="C2586" t="s">
        <v>5557</v>
      </c>
      <c r="D2586" t="s">
        <v>5558</v>
      </c>
      <c r="E2586" t="s">
        <v>73</v>
      </c>
      <c r="F2586" t="s">
        <v>5559</v>
      </c>
      <c r="G2586" t="str">
        <f>"00530429"</f>
        <v>00530429</v>
      </c>
      <c r="H2586">
        <v>0</v>
      </c>
      <c r="I2586">
        <v>0</v>
      </c>
      <c r="L2586">
        <v>4</v>
      </c>
      <c r="M2586">
        <v>0</v>
      </c>
      <c r="N2586">
        <v>4</v>
      </c>
      <c r="O2586">
        <v>0</v>
      </c>
      <c r="P2586">
        <v>4</v>
      </c>
      <c r="Q2586">
        <v>18</v>
      </c>
      <c r="R2586">
        <v>18</v>
      </c>
      <c r="S2586">
        <v>0</v>
      </c>
      <c r="T2586">
        <v>0</v>
      </c>
      <c r="U2586" s="1">
        <v>0</v>
      </c>
      <c r="V2586">
        <v>22</v>
      </c>
    </row>
    <row r="2587" spans="1:22" ht="15">
      <c r="A2587" s="4">
        <v>2580</v>
      </c>
      <c r="B2587">
        <v>363</v>
      </c>
      <c r="C2587" t="s">
        <v>5560</v>
      </c>
      <c r="D2587" t="s">
        <v>649</v>
      </c>
      <c r="E2587" t="s">
        <v>447</v>
      </c>
      <c r="F2587" t="s">
        <v>5561</v>
      </c>
      <c r="G2587" t="str">
        <f>"00519569"</f>
        <v>00519569</v>
      </c>
      <c r="H2587">
        <v>16</v>
      </c>
      <c r="I2587">
        <v>0</v>
      </c>
      <c r="M2587">
        <v>0</v>
      </c>
      <c r="N2587">
        <v>0</v>
      </c>
      <c r="O2587">
        <v>0</v>
      </c>
      <c r="P2587">
        <v>16</v>
      </c>
      <c r="Q2587">
        <v>0</v>
      </c>
      <c r="R2587">
        <v>0</v>
      </c>
      <c r="S2587">
        <v>6</v>
      </c>
      <c r="T2587">
        <v>0</v>
      </c>
      <c r="U2587" s="1">
        <v>0</v>
      </c>
      <c r="V2587">
        <v>22</v>
      </c>
    </row>
    <row r="2588" spans="1:22" ht="15">
      <c r="A2588" s="4">
        <v>2581</v>
      </c>
      <c r="B2588">
        <v>1709</v>
      </c>
      <c r="C2588" t="s">
        <v>780</v>
      </c>
      <c r="D2588" t="s">
        <v>26</v>
      </c>
      <c r="E2588" t="s">
        <v>15</v>
      </c>
      <c r="F2588" t="s">
        <v>5562</v>
      </c>
      <c r="G2588" t="str">
        <f>"00527334"</f>
        <v>00527334</v>
      </c>
      <c r="H2588">
        <v>22</v>
      </c>
      <c r="I2588">
        <v>0</v>
      </c>
      <c r="M2588">
        <v>0</v>
      </c>
      <c r="N2588">
        <v>0</v>
      </c>
      <c r="O2588">
        <v>0</v>
      </c>
      <c r="P2588">
        <v>22</v>
      </c>
      <c r="Q2588">
        <v>0</v>
      </c>
      <c r="R2588">
        <v>0</v>
      </c>
      <c r="S2588">
        <v>0</v>
      </c>
      <c r="T2588">
        <v>0</v>
      </c>
      <c r="U2588" s="1">
        <v>0</v>
      </c>
      <c r="V2588">
        <v>22</v>
      </c>
    </row>
    <row r="2589" spans="1:22" ht="15">
      <c r="A2589" s="4">
        <v>2582</v>
      </c>
      <c r="B2589">
        <v>2420</v>
      </c>
      <c r="C2589" t="s">
        <v>96</v>
      </c>
      <c r="D2589" t="s">
        <v>485</v>
      </c>
      <c r="E2589" t="s">
        <v>30</v>
      </c>
      <c r="F2589" t="s">
        <v>5563</v>
      </c>
      <c r="G2589" t="str">
        <f>"00533298"</f>
        <v>00533298</v>
      </c>
      <c r="H2589">
        <v>12</v>
      </c>
      <c r="I2589">
        <v>0</v>
      </c>
      <c r="M2589">
        <v>4</v>
      </c>
      <c r="N2589">
        <v>0</v>
      </c>
      <c r="O2589">
        <v>0</v>
      </c>
      <c r="P2589">
        <v>16</v>
      </c>
      <c r="Q2589">
        <v>0</v>
      </c>
      <c r="R2589">
        <v>0</v>
      </c>
      <c r="S2589">
        <v>6</v>
      </c>
      <c r="T2589">
        <v>0</v>
      </c>
      <c r="U2589" s="1">
        <v>0</v>
      </c>
      <c r="V2589">
        <v>22</v>
      </c>
    </row>
    <row r="2590" spans="1:22" ht="15">
      <c r="A2590" s="4">
        <v>2583</v>
      </c>
      <c r="B2590">
        <v>2663</v>
      </c>
      <c r="C2590" t="s">
        <v>5564</v>
      </c>
      <c r="D2590" t="s">
        <v>211</v>
      </c>
      <c r="E2590" t="s">
        <v>73</v>
      </c>
      <c r="F2590" t="s">
        <v>5565</v>
      </c>
      <c r="G2590" t="str">
        <f>"00529520"</f>
        <v>00529520</v>
      </c>
      <c r="H2590">
        <v>14.8</v>
      </c>
      <c r="I2590">
        <v>0</v>
      </c>
      <c r="M2590">
        <v>4</v>
      </c>
      <c r="N2590">
        <v>0</v>
      </c>
      <c r="O2590">
        <v>0</v>
      </c>
      <c r="P2590">
        <v>18.8</v>
      </c>
      <c r="Q2590">
        <v>3</v>
      </c>
      <c r="R2590">
        <v>3</v>
      </c>
      <c r="S2590">
        <v>0</v>
      </c>
      <c r="T2590">
        <v>0</v>
      </c>
      <c r="U2590" s="1">
        <v>0</v>
      </c>
      <c r="V2590">
        <v>21.8</v>
      </c>
    </row>
    <row r="2591" spans="1:22" ht="15">
      <c r="A2591" s="4">
        <v>2584</v>
      </c>
      <c r="B2591">
        <v>1098</v>
      </c>
      <c r="C2591" t="s">
        <v>5566</v>
      </c>
      <c r="D2591" t="s">
        <v>76</v>
      </c>
      <c r="E2591" t="s">
        <v>47</v>
      </c>
      <c r="F2591" t="s">
        <v>5567</v>
      </c>
      <c r="G2591" t="str">
        <f>"00524805"</f>
        <v>00524805</v>
      </c>
      <c r="H2591">
        <v>21.72</v>
      </c>
      <c r="I2591">
        <v>0</v>
      </c>
      <c r="M2591">
        <v>0</v>
      </c>
      <c r="N2591">
        <v>0</v>
      </c>
      <c r="O2591">
        <v>0</v>
      </c>
      <c r="P2591">
        <v>21.72</v>
      </c>
      <c r="Q2591">
        <v>0</v>
      </c>
      <c r="R2591">
        <v>0</v>
      </c>
      <c r="S2591">
        <v>0</v>
      </c>
      <c r="T2591">
        <v>0</v>
      </c>
      <c r="U2591" s="1">
        <v>0</v>
      </c>
      <c r="V2591">
        <v>21.72</v>
      </c>
    </row>
    <row r="2592" spans="1:22" ht="15">
      <c r="A2592" s="4">
        <v>2585</v>
      </c>
      <c r="B2592">
        <v>1139</v>
      </c>
      <c r="C2592" t="s">
        <v>5568</v>
      </c>
      <c r="D2592" t="s">
        <v>4482</v>
      </c>
      <c r="E2592" t="s">
        <v>242</v>
      </c>
      <c r="F2592" t="s">
        <v>5569</v>
      </c>
      <c r="G2592" t="str">
        <f>"00523412"</f>
        <v>00523412</v>
      </c>
      <c r="H2592">
        <v>21.68</v>
      </c>
      <c r="I2592">
        <v>0</v>
      </c>
      <c r="M2592">
        <v>0</v>
      </c>
      <c r="N2592">
        <v>0</v>
      </c>
      <c r="O2592">
        <v>0</v>
      </c>
      <c r="P2592">
        <v>21.68</v>
      </c>
      <c r="Q2592">
        <v>0</v>
      </c>
      <c r="R2592">
        <v>0</v>
      </c>
      <c r="S2592">
        <v>0</v>
      </c>
      <c r="T2592">
        <v>0</v>
      </c>
      <c r="U2592" s="1">
        <v>0</v>
      </c>
      <c r="V2592">
        <v>21.68</v>
      </c>
    </row>
    <row r="2593" spans="1:22" ht="15">
      <c r="A2593" s="4">
        <v>2586</v>
      </c>
      <c r="B2593">
        <v>1314</v>
      </c>
      <c r="C2593" t="s">
        <v>5570</v>
      </c>
      <c r="D2593" t="s">
        <v>179</v>
      </c>
      <c r="E2593" t="s">
        <v>19</v>
      </c>
      <c r="F2593" t="s">
        <v>5571</v>
      </c>
      <c r="G2593" t="str">
        <f>"00531342"</f>
        <v>00531342</v>
      </c>
      <c r="H2593">
        <v>21.6</v>
      </c>
      <c r="I2593">
        <v>0</v>
      </c>
      <c r="M2593">
        <v>0</v>
      </c>
      <c r="N2593">
        <v>0</v>
      </c>
      <c r="O2593">
        <v>0</v>
      </c>
      <c r="P2593">
        <v>21.6</v>
      </c>
      <c r="Q2593">
        <v>0</v>
      </c>
      <c r="R2593">
        <v>0</v>
      </c>
      <c r="S2593">
        <v>0</v>
      </c>
      <c r="T2593">
        <v>0</v>
      </c>
      <c r="U2593" s="1">
        <v>0</v>
      </c>
      <c r="V2593">
        <v>21.6</v>
      </c>
    </row>
    <row r="2594" spans="1:22" ht="15">
      <c r="A2594" s="4">
        <v>2587</v>
      </c>
      <c r="B2594">
        <v>578</v>
      </c>
      <c r="C2594" t="s">
        <v>5572</v>
      </c>
      <c r="D2594" t="s">
        <v>89</v>
      </c>
      <c r="E2594" t="s">
        <v>90</v>
      </c>
      <c r="F2594" t="s">
        <v>5573</v>
      </c>
      <c r="G2594" t="str">
        <f>"00391433"</f>
        <v>00391433</v>
      </c>
      <c r="H2594">
        <v>21.6</v>
      </c>
      <c r="I2594">
        <v>0</v>
      </c>
      <c r="M2594">
        <v>0</v>
      </c>
      <c r="N2594">
        <v>0</v>
      </c>
      <c r="O2594">
        <v>0</v>
      </c>
      <c r="P2594">
        <v>21.6</v>
      </c>
      <c r="Q2594">
        <v>0</v>
      </c>
      <c r="R2594">
        <v>0</v>
      </c>
      <c r="S2594">
        <v>0</v>
      </c>
      <c r="T2594">
        <v>0</v>
      </c>
      <c r="U2594" s="1">
        <v>0</v>
      </c>
      <c r="V2594">
        <v>21.6</v>
      </c>
    </row>
    <row r="2595" spans="1:22" ht="15">
      <c r="A2595" s="4">
        <v>2588</v>
      </c>
      <c r="B2595">
        <v>2964</v>
      </c>
      <c r="C2595" t="s">
        <v>5574</v>
      </c>
      <c r="D2595" t="s">
        <v>1346</v>
      </c>
      <c r="E2595" t="s">
        <v>83</v>
      </c>
      <c r="F2595" t="s">
        <v>5575</v>
      </c>
      <c r="G2595" t="str">
        <f>"00520870"</f>
        <v>00520870</v>
      </c>
      <c r="H2595">
        <v>21.6</v>
      </c>
      <c r="I2595">
        <v>0</v>
      </c>
      <c r="M2595">
        <v>0</v>
      </c>
      <c r="N2595">
        <v>0</v>
      </c>
      <c r="O2595">
        <v>0</v>
      </c>
      <c r="P2595">
        <v>21.6</v>
      </c>
      <c r="Q2595">
        <v>0</v>
      </c>
      <c r="R2595">
        <v>0</v>
      </c>
      <c r="S2595">
        <v>0</v>
      </c>
      <c r="T2595">
        <v>0</v>
      </c>
      <c r="U2595" s="1">
        <v>0</v>
      </c>
      <c r="V2595">
        <v>21.6</v>
      </c>
    </row>
    <row r="2596" spans="1:22" ht="15">
      <c r="A2596" s="4">
        <v>2589</v>
      </c>
      <c r="B2596">
        <v>3391</v>
      </c>
      <c r="C2596" t="s">
        <v>5312</v>
      </c>
      <c r="D2596" t="s">
        <v>14</v>
      </c>
      <c r="E2596" t="s">
        <v>344</v>
      </c>
      <c r="F2596" t="s">
        <v>5576</v>
      </c>
      <c r="G2596" t="str">
        <f>"00534032"</f>
        <v>00534032</v>
      </c>
      <c r="H2596">
        <v>21.6</v>
      </c>
      <c r="I2596">
        <v>0</v>
      </c>
      <c r="M2596">
        <v>0</v>
      </c>
      <c r="N2596">
        <v>0</v>
      </c>
      <c r="O2596">
        <v>0</v>
      </c>
      <c r="P2596">
        <v>21.6</v>
      </c>
      <c r="Q2596">
        <v>0</v>
      </c>
      <c r="R2596">
        <v>0</v>
      </c>
      <c r="S2596">
        <v>0</v>
      </c>
      <c r="T2596">
        <v>0</v>
      </c>
      <c r="U2596" s="1">
        <v>0</v>
      </c>
      <c r="V2596">
        <v>21.6</v>
      </c>
    </row>
    <row r="2597" spans="1:22" ht="15">
      <c r="A2597" s="4">
        <v>2590</v>
      </c>
      <c r="B2597">
        <v>347</v>
      </c>
      <c r="C2597" t="s">
        <v>5577</v>
      </c>
      <c r="D2597" t="s">
        <v>5578</v>
      </c>
      <c r="E2597" t="s">
        <v>23</v>
      </c>
      <c r="F2597" t="s">
        <v>5579</v>
      </c>
      <c r="G2597" t="str">
        <f>"00441758"</f>
        <v>00441758</v>
      </c>
      <c r="H2597">
        <v>21.6</v>
      </c>
      <c r="I2597">
        <v>0</v>
      </c>
      <c r="M2597">
        <v>0</v>
      </c>
      <c r="N2597">
        <v>0</v>
      </c>
      <c r="O2597">
        <v>0</v>
      </c>
      <c r="P2597">
        <v>21.6</v>
      </c>
      <c r="Q2597">
        <v>0</v>
      </c>
      <c r="R2597">
        <v>0</v>
      </c>
      <c r="S2597">
        <v>0</v>
      </c>
      <c r="T2597">
        <v>0</v>
      </c>
      <c r="U2597" s="1">
        <v>0</v>
      </c>
      <c r="V2597">
        <v>21.6</v>
      </c>
    </row>
    <row r="2598" spans="1:22" ht="15">
      <c r="A2598" s="4">
        <v>2591</v>
      </c>
      <c r="B2598">
        <v>518</v>
      </c>
      <c r="C2598" t="s">
        <v>5580</v>
      </c>
      <c r="D2598" t="s">
        <v>82</v>
      </c>
      <c r="E2598" t="s">
        <v>225</v>
      </c>
      <c r="F2598" t="s">
        <v>5581</v>
      </c>
      <c r="G2598" t="str">
        <f>"00532159"</f>
        <v>00532159</v>
      </c>
      <c r="H2598">
        <v>21.6</v>
      </c>
      <c r="I2598">
        <v>0</v>
      </c>
      <c r="M2598">
        <v>0</v>
      </c>
      <c r="N2598">
        <v>0</v>
      </c>
      <c r="O2598">
        <v>0</v>
      </c>
      <c r="P2598">
        <v>21.6</v>
      </c>
      <c r="Q2598">
        <v>0</v>
      </c>
      <c r="R2598">
        <v>0</v>
      </c>
      <c r="S2598">
        <v>0</v>
      </c>
      <c r="T2598">
        <v>0</v>
      </c>
      <c r="U2598" s="1">
        <v>0</v>
      </c>
      <c r="V2598">
        <v>21.6</v>
      </c>
    </row>
    <row r="2599" spans="1:22" ht="15">
      <c r="A2599" s="4">
        <v>2592</v>
      </c>
      <c r="B2599">
        <v>2962</v>
      </c>
      <c r="C2599" t="s">
        <v>879</v>
      </c>
      <c r="D2599" t="s">
        <v>211</v>
      </c>
      <c r="E2599" t="s">
        <v>112</v>
      </c>
      <c r="F2599" t="s">
        <v>5582</v>
      </c>
      <c r="G2599" t="str">
        <f>"00531233"</f>
        <v>00531233</v>
      </c>
      <c r="H2599">
        <v>21.6</v>
      </c>
      <c r="I2599">
        <v>0</v>
      </c>
      <c r="M2599">
        <v>0</v>
      </c>
      <c r="N2599">
        <v>0</v>
      </c>
      <c r="O2599">
        <v>0</v>
      </c>
      <c r="P2599">
        <v>21.6</v>
      </c>
      <c r="Q2599">
        <v>0</v>
      </c>
      <c r="R2599">
        <v>0</v>
      </c>
      <c r="S2599">
        <v>0</v>
      </c>
      <c r="T2599">
        <v>0</v>
      </c>
      <c r="U2599" s="1">
        <v>0</v>
      </c>
      <c r="V2599">
        <v>21.6</v>
      </c>
    </row>
    <row r="2600" spans="1:22" ht="15">
      <c r="A2600" s="4">
        <v>2593</v>
      </c>
      <c r="B2600">
        <v>2280</v>
      </c>
      <c r="C2600" t="s">
        <v>789</v>
      </c>
      <c r="D2600" t="s">
        <v>193</v>
      </c>
      <c r="E2600" t="s">
        <v>18</v>
      </c>
      <c r="F2600" t="s">
        <v>5583</v>
      </c>
      <c r="G2600" t="str">
        <f>"00533433"</f>
        <v>00533433</v>
      </c>
      <c r="H2600">
        <v>21.6</v>
      </c>
      <c r="I2600">
        <v>0</v>
      </c>
      <c r="M2600">
        <v>0</v>
      </c>
      <c r="N2600">
        <v>0</v>
      </c>
      <c r="O2600">
        <v>0</v>
      </c>
      <c r="P2600">
        <v>21.6</v>
      </c>
      <c r="Q2600">
        <v>0</v>
      </c>
      <c r="R2600">
        <v>0</v>
      </c>
      <c r="S2600">
        <v>0</v>
      </c>
      <c r="T2600">
        <v>0</v>
      </c>
      <c r="U2600" s="1">
        <v>0</v>
      </c>
      <c r="V2600">
        <v>21.6</v>
      </c>
    </row>
    <row r="2601" spans="1:22" ht="15">
      <c r="A2601" s="4">
        <v>2594</v>
      </c>
      <c r="B2601">
        <v>316</v>
      </c>
      <c r="C2601" t="s">
        <v>1440</v>
      </c>
      <c r="D2601" t="s">
        <v>5584</v>
      </c>
      <c r="E2601" t="s">
        <v>11</v>
      </c>
      <c r="F2601" t="s">
        <v>5585</v>
      </c>
      <c r="G2601" t="str">
        <f>"00521717"</f>
        <v>00521717</v>
      </c>
      <c r="H2601">
        <v>21.6</v>
      </c>
      <c r="I2601">
        <v>0</v>
      </c>
      <c r="M2601">
        <v>0</v>
      </c>
      <c r="N2601">
        <v>0</v>
      </c>
      <c r="O2601">
        <v>0</v>
      </c>
      <c r="P2601">
        <v>21.6</v>
      </c>
      <c r="Q2601">
        <v>0</v>
      </c>
      <c r="R2601">
        <v>0</v>
      </c>
      <c r="S2601">
        <v>0</v>
      </c>
      <c r="T2601">
        <v>0</v>
      </c>
      <c r="U2601" s="1">
        <v>0</v>
      </c>
      <c r="V2601">
        <v>21.6</v>
      </c>
    </row>
    <row r="2602" spans="1:22" ht="15">
      <c r="A2602" s="4">
        <v>2595</v>
      </c>
      <c r="B2602">
        <v>2189</v>
      </c>
      <c r="C2602" t="s">
        <v>5586</v>
      </c>
      <c r="D2602" t="s">
        <v>735</v>
      </c>
      <c r="E2602" t="s">
        <v>99</v>
      </c>
      <c r="F2602" t="s">
        <v>5587</v>
      </c>
      <c r="G2602" t="str">
        <f>"00511674"</f>
        <v>00511674</v>
      </c>
      <c r="H2602">
        <v>21.6</v>
      </c>
      <c r="I2602">
        <v>0</v>
      </c>
      <c r="M2602">
        <v>0</v>
      </c>
      <c r="N2602">
        <v>0</v>
      </c>
      <c r="O2602">
        <v>0</v>
      </c>
      <c r="P2602">
        <v>21.6</v>
      </c>
      <c r="Q2602">
        <v>0</v>
      </c>
      <c r="R2602">
        <v>0</v>
      </c>
      <c r="S2602">
        <v>0</v>
      </c>
      <c r="T2602">
        <v>0</v>
      </c>
      <c r="U2602" s="1">
        <v>0</v>
      </c>
      <c r="V2602">
        <v>21.6</v>
      </c>
    </row>
    <row r="2603" spans="1:22" ht="15">
      <c r="A2603" s="4">
        <v>2596</v>
      </c>
      <c r="B2603">
        <v>1687</v>
      </c>
      <c r="C2603" t="s">
        <v>5588</v>
      </c>
      <c r="D2603" t="s">
        <v>211</v>
      </c>
      <c r="E2603" t="s">
        <v>99</v>
      </c>
      <c r="F2603" t="s">
        <v>5589</v>
      </c>
      <c r="G2603" t="str">
        <f>"00524342"</f>
        <v>00524342</v>
      </c>
      <c r="H2603">
        <v>21.6</v>
      </c>
      <c r="I2603">
        <v>0</v>
      </c>
      <c r="M2603">
        <v>0</v>
      </c>
      <c r="N2603">
        <v>0</v>
      </c>
      <c r="O2603">
        <v>0</v>
      </c>
      <c r="P2603">
        <v>21.6</v>
      </c>
      <c r="Q2603">
        <v>0</v>
      </c>
      <c r="R2603">
        <v>0</v>
      </c>
      <c r="S2603">
        <v>0</v>
      </c>
      <c r="T2603">
        <v>0</v>
      </c>
      <c r="U2603" s="1">
        <v>0</v>
      </c>
      <c r="V2603">
        <v>21.6</v>
      </c>
    </row>
    <row r="2604" spans="1:22" ht="15">
      <c r="A2604" s="4">
        <v>2597</v>
      </c>
      <c r="B2604">
        <v>1619</v>
      </c>
      <c r="C2604" t="s">
        <v>4902</v>
      </c>
      <c r="D2604" t="s">
        <v>273</v>
      </c>
      <c r="E2604" t="s">
        <v>4307</v>
      </c>
      <c r="F2604" t="s">
        <v>5590</v>
      </c>
      <c r="G2604" t="str">
        <f>"00530318"</f>
        <v>00530318</v>
      </c>
      <c r="H2604">
        <v>21.6</v>
      </c>
      <c r="I2604">
        <v>0</v>
      </c>
      <c r="M2604">
        <v>0</v>
      </c>
      <c r="N2604">
        <v>0</v>
      </c>
      <c r="O2604">
        <v>0</v>
      </c>
      <c r="P2604">
        <v>21.6</v>
      </c>
      <c r="Q2604">
        <v>0</v>
      </c>
      <c r="R2604">
        <v>0</v>
      </c>
      <c r="S2604">
        <v>0</v>
      </c>
      <c r="T2604">
        <v>0</v>
      </c>
      <c r="U2604" s="1">
        <v>0</v>
      </c>
      <c r="V2604">
        <v>21.6</v>
      </c>
    </row>
    <row r="2605" spans="1:22" ht="15">
      <c r="A2605" s="4">
        <v>2598</v>
      </c>
      <c r="B2605">
        <v>1483</v>
      </c>
      <c r="C2605" t="s">
        <v>5591</v>
      </c>
      <c r="D2605" t="s">
        <v>1397</v>
      </c>
      <c r="E2605" t="s">
        <v>15</v>
      </c>
      <c r="F2605" t="s">
        <v>5592</v>
      </c>
      <c r="G2605" t="str">
        <f>"00019039"</f>
        <v>00019039</v>
      </c>
      <c r="H2605">
        <v>21.6</v>
      </c>
      <c r="I2605">
        <v>0</v>
      </c>
      <c r="M2605">
        <v>0</v>
      </c>
      <c r="N2605">
        <v>0</v>
      </c>
      <c r="O2605">
        <v>0</v>
      </c>
      <c r="P2605">
        <v>21.6</v>
      </c>
      <c r="Q2605">
        <v>0</v>
      </c>
      <c r="R2605">
        <v>0</v>
      </c>
      <c r="S2605">
        <v>0</v>
      </c>
      <c r="T2605">
        <v>0</v>
      </c>
      <c r="U2605" s="1">
        <v>0</v>
      </c>
      <c r="V2605">
        <v>21.6</v>
      </c>
    </row>
    <row r="2606" spans="1:22" ht="15">
      <c r="A2606" s="4">
        <v>2599</v>
      </c>
      <c r="B2606">
        <v>2651</v>
      </c>
      <c r="C2606" t="s">
        <v>5593</v>
      </c>
      <c r="D2606" t="s">
        <v>4542</v>
      </c>
      <c r="E2606" t="s">
        <v>83</v>
      </c>
      <c r="F2606" t="s">
        <v>5594</v>
      </c>
      <c r="G2606" t="str">
        <f>"00069314"</f>
        <v>00069314</v>
      </c>
      <c r="H2606">
        <v>14.4</v>
      </c>
      <c r="I2606">
        <v>0</v>
      </c>
      <c r="M2606">
        <v>4</v>
      </c>
      <c r="N2606">
        <v>0</v>
      </c>
      <c r="O2606">
        <v>0</v>
      </c>
      <c r="P2606">
        <v>18.4</v>
      </c>
      <c r="Q2606">
        <v>0</v>
      </c>
      <c r="R2606">
        <v>0</v>
      </c>
      <c r="S2606">
        <v>3</v>
      </c>
      <c r="T2606">
        <v>0</v>
      </c>
      <c r="U2606" s="1">
        <v>0</v>
      </c>
      <c r="V2606">
        <v>21.4</v>
      </c>
    </row>
    <row r="2607" spans="1:22" ht="15">
      <c r="A2607" s="4">
        <v>2600</v>
      </c>
      <c r="B2607">
        <v>1808</v>
      </c>
      <c r="C2607" t="s">
        <v>708</v>
      </c>
      <c r="D2607" t="s">
        <v>339</v>
      </c>
      <c r="E2607" t="s">
        <v>927</v>
      </c>
      <c r="F2607" t="s">
        <v>5595</v>
      </c>
      <c r="G2607" t="str">
        <f>"00530661"</f>
        <v>00530661</v>
      </c>
      <c r="H2607">
        <v>14.4</v>
      </c>
      <c r="I2607">
        <v>0</v>
      </c>
      <c r="M2607">
        <v>4</v>
      </c>
      <c r="N2607">
        <v>0</v>
      </c>
      <c r="O2607">
        <v>0</v>
      </c>
      <c r="P2607">
        <v>18.4</v>
      </c>
      <c r="Q2607">
        <v>3</v>
      </c>
      <c r="R2607">
        <v>3</v>
      </c>
      <c r="S2607">
        <v>0</v>
      </c>
      <c r="T2607">
        <v>0</v>
      </c>
      <c r="U2607" s="1">
        <v>0</v>
      </c>
      <c r="V2607">
        <v>21.4</v>
      </c>
    </row>
    <row r="2608" spans="1:22" ht="15">
      <c r="A2608" s="4">
        <v>2601</v>
      </c>
      <c r="B2608">
        <v>892</v>
      </c>
      <c r="C2608" t="s">
        <v>5596</v>
      </c>
      <c r="D2608" t="s">
        <v>643</v>
      </c>
      <c r="E2608" t="s">
        <v>909</v>
      </c>
      <c r="F2608" t="s">
        <v>5597</v>
      </c>
      <c r="G2608" t="str">
        <f>"00531404"</f>
        <v>00531404</v>
      </c>
      <c r="H2608">
        <v>14.4</v>
      </c>
      <c r="I2608">
        <v>0</v>
      </c>
      <c r="M2608">
        <v>4</v>
      </c>
      <c r="N2608">
        <v>0</v>
      </c>
      <c r="O2608">
        <v>0</v>
      </c>
      <c r="P2608">
        <v>18.4</v>
      </c>
      <c r="Q2608">
        <v>0</v>
      </c>
      <c r="R2608">
        <v>0</v>
      </c>
      <c r="S2608">
        <v>3</v>
      </c>
      <c r="T2608">
        <v>0</v>
      </c>
      <c r="U2608" s="1">
        <v>0</v>
      </c>
      <c r="V2608">
        <v>21.4</v>
      </c>
    </row>
    <row r="2609" spans="1:22" ht="15">
      <c r="A2609" s="4">
        <v>2602</v>
      </c>
      <c r="B2609">
        <v>3006</v>
      </c>
      <c r="C2609" t="s">
        <v>5598</v>
      </c>
      <c r="D2609" t="s">
        <v>5599</v>
      </c>
      <c r="E2609" t="s">
        <v>403</v>
      </c>
      <c r="F2609" t="s">
        <v>5600</v>
      </c>
      <c r="G2609" t="str">
        <f>"00503670"</f>
        <v>00503670</v>
      </c>
      <c r="H2609">
        <v>14.4</v>
      </c>
      <c r="I2609">
        <v>0</v>
      </c>
      <c r="M2609">
        <v>4</v>
      </c>
      <c r="N2609">
        <v>0</v>
      </c>
      <c r="O2609">
        <v>0</v>
      </c>
      <c r="P2609">
        <v>18.4</v>
      </c>
      <c r="Q2609">
        <v>0</v>
      </c>
      <c r="R2609">
        <v>0</v>
      </c>
      <c r="S2609">
        <v>3</v>
      </c>
      <c r="T2609">
        <v>0</v>
      </c>
      <c r="U2609" s="1">
        <v>0</v>
      </c>
      <c r="V2609">
        <v>21.4</v>
      </c>
    </row>
    <row r="2610" spans="1:22" ht="15">
      <c r="A2610" s="4">
        <v>2603</v>
      </c>
      <c r="B2610">
        <v>2998</v>
      </c>
      <c r="C2610" t="s">
        <v>5601</v>
      </c>
      <c r="D2610" t="s">
        <v>511</v>
      </c>
      <c r="E2610" t="s">
        <v>5602</v>
      </c>
      <c r="F2610" t="s">
        <v>5603</v>
      </c>
      <c r="G2610" t="str">
        <f>"00516068"</f>
        <v>00516068</v>
      </c>
      <c r="H2610">
        <v>14.4</v>
      </c>
      <c r="I2610">
        <v>0</v>
      </c>
      <c r="M2610">
        <v>4</v>
      </c>
      <c r="N2610">
        <v>0</v>
      </c>
      <c r="O2610">
        <v>0</v>
      </c>
      <c r="P2610">
        <v>18.4</v>
      </c>
      <c r="Q2610">
        <v>0</v>
      </c>
      <c r="R2610">
        <v>0</v>
      </c>
      <c r="S2610">
        <v>3</v>
      </c>
      <c r="T2610">
        <v>0</v>
      </c>
      <c r="U2610" s="1">
        <v>0</v>
      </c>
      <c r="V2610">
        <v>21.4</v>
      </c>
    </row>
    <row r="2611" spans="1:22" ht="15">
      <c r="A2611" s="4">
        <v>2604</v>
      </c>
      <c r="B2611">
        <v>401</v>
      </c>
      <c r="C2611" t="s">
        <v>5604</v>
      </c>
      <c r="D2611" t="s">
        <v>5605</v>
      </c>
      <c r="E2611" t="s">
        <v>94</v>
      </c>
      <c r="F2611" t="s">
        <v>5606</v>
      </c>
      <c r="G2611" t="str">
        <f>"00508961"</f>
        <v>00508961</v>
      </c>
      <c r="H2611">
        <v>14.4</v>
      </c>
      <c r="I2611">
        <v>0</v>
      </c>
      <c r="M2611">
        <v>4</v>
      </c>
      <c r="N2611">
        <v>0</v>
      </c>
      <c r="O2611">
        <v>0</v>
      </c>
      <c r="P2611">
        <v>18.4</v>
      </c>
      <c r="Q2611">
        <v>3</v>
      </c>
      <c r="R2611">
        <v>3</v>
      </c>
      <c r="S2611">
        <v>0</v>
      </c>
      <c r="T2611">
        <v>0</v>
      </c>
      <c r="U2611" s="1">
        <v>0</v>
      </c>
      <c r="V2611">
        <v>21.4</v>
      </c>
    </row>
    <row r="2612" spans="1:22" ht="15">
      <c r="A2612" s="4">
        <v>2605</v>
      </c>
      <c r="B2612">
        <v>1729</v>
      </c>
      <c r="C2612" t="s">
        <v>5607</v>
      </c>
      <c r="D2612" t="s">
        <v>643</v>
      </c>
      <c r="E2612" t="s">
        <v>242</v>
      </c>
      <c r="F2612" t="s">
        <v>5608</v>
      </c>
      <c r="G2612" t="str">
        <f>"00530585"</f>
        <v>00530585</v>
      </c>
      <c r="H2612">
        <v>14.4</v>
      </c>
      <c r="I2612">
        <v>0</v>
      </c>
      <c r="M2612">
        <v>4</v>
      </c>
      <c r="N2612">
        <v>0</v>
      </c>
      <c r="O2612">
        <v>0</v>
      </c>
      <c r="P2612">
        <v>18.4</v>
      </c>
      <c r="Q2612">
        <v>0</v>
      </c>
      <c r="R2612">
        <v>0</v>
      </c>
      <c r="S2612">
        <v>3</v>
      </c>
      <c r="T2612">
        <v>0</v>
      </c>
      <c r="U2612" s="1">
        <v>0</v>
      </c>
      <c r="V2612">
        <v>21.4</v>
      </c>
    </row>
    <row r="2613" spans="1:22" ht="15">
      <c r="A2613" s="4">
        <v>2606</v>
      </c>
      <c r="B2613">
        <v>2851</v>
      </c>
      <c r="C2613" t="s">
        <v>5609</v>
      </c>
      <c r="D2613" t="s">
        <v>121</v>
      </c>
      <c r="E2613" t="s">
        <v>23</v>
      </c>
      <c r="F2613" t="s">
        <v>5610</v>
      </c>
      <c r="G2613" t="str">
        <f>"00502473"</f>
        <v>00502473</v>
      </c>
      <c r="H2613">
        <v>14.4</v>
      </c>
      <c r="I2613">
        <v>0</v>
      </c>
      <c r="M2613">
        <v>4</v>
      </c>
      <c r="N2613">
        <v>0</v>
      </c>
      <c r="O2613">
        <v>0</v>
      </c>
      <c r="P2613">
        <v>18.4</v>
      </c>
      <c r="Q2613">
        <v>0</v>
      </c>
      <c r="R2613">
        <v>0</v>
      </c>
      <c r="S2613">
        <v>3</v>
      </c>
      <c r="T2613">
        <v>0</v>
      </c>
      <c r="U2613" s="1">
        <v>0</v>
      </c>
      <c r="V2613">
        <v>21.4</v>
      </c>
    </row>
    <row r="2614" spans="1:22" ht="15">
      <c r="A2614" s="4">
        <v>2607</v>
      </c>
      <c r="B2614">
        <v>1366</v>
      </c>
      <c r="C2614" t="s">
        <v>5611</v>
      </c>
      <c r="D2614" t="s">
        <v>89</v>
      </c>
      <c r="E2614" t="s">
        <v>327</v>
      </c>
      <c r="F2614" t="s">
        <v>5612</v>
      </c>
      <c r="G2614" t="str">
        <f>"00531733"</f>
        <v>00531733</v>
      </c>
      <c r="H2614">
        <v>14.4</v>
      </c>
      <c r="I2614">
        <v>0</v>
      </c>
      <c r="M2614">
        <v>4</v>
      </c>
      <c r="N2614">
        <v>0</v>
      </c>
      <c r="O2614">
        <v>0</v>
      </c>
      <c r="P2614">
        <v>18.4</v>
      </c>
      <c r="Q2614">
        <v>0</v>
      </c>
      <c r="R2614">
        <v>0</v>
      </c>
      <c r="S2614">
        <v>3</v>
      </c>
      <c r="T2614">
        <v>0</v>
      </c>
      <c r="U2614" s="1">
        <v>0</v>
      </c>
      <c r="V2614">
        <v>21.4</v>
      </c>
    </row>
    <row r="2615" spans="1:22" ht="15">
      <c r="A2615" s="4">
        <v>2608</v>
      </c>
      <c r="B2615">
        <v>3046</v>
      </c>
      <c r="C2615" t="s">
        <v>5613</v>
      </c>
      <c r="D2615" t="s">
        <v>3939</v>
      </c>
      <c r="E2615" t="s">
        <v>83</v>
      </c>
      <c r="F2615" t="s">
        <v>5614</v>
      </c>
      <c r="G2615" t="str">
        <f>"00534254"</f>
        <v>00534254</v>
      </c>
      <c r="H2615">
        <v>14.4</v>
      </c>
      <c r="I2615">
        <v>0</v>
      </c>
      <c r="L2615">
        <v>4</v>
      </c>
      <c r="M2615">
        <v>0</v>
      </c>
      <c r="N2615">
        <v>4</v>
      </c>
      <c r="O2615">
        <v>0</v>
      </c>
      <c r="P2615">
        <v>18.4</v>
      </c>
      <c r="Q2615">
        <v>0</v>
      </c>
      <c r="R2615">
        <v>0</v>
      </c>
      <c r="S2615">
        <v>3</v>
      </c>
      <c r="T2615">
        <v>0</v>
      </c>
      <c r="U2615" s="1">
        <v>0</v>
      </c>
      <c r="V2615">
        <v>21.4</v>
      </c>
    </row>
    <row r="2616" spans="1:22" ht="15">
      <c r="A2616" s="4">
        <v>2609</v>
      </c>
      <c r="B2616">
        <v>1356</v>
      </c>
      <c r="C2616" t="s">
        <v>2814</v>
      </c>
      <c r="D2616" t="s">
        <v>29</v>
      </c>
      <c r="E2616" t="s">
        <v>73</v>
      </c>
      <c r="F2616" t="s">
        <v>5615</v>
      </c>
      <c r="G2616" t="str">
        <f>"00530625"</f>
        <v>00530625</v>
      </c>
      <c r="H2616">
        <v>18.28</v>
      </c>
      <c r="I2616">
        <v>0</v>
      </c>
      <c r="M2616">
        <v>0</v>
      </c>
      <c r="N2616">
        <v>0</v>
      </c>
      <c r="O2616">
        <v>0</v>
      </c>
      <c r="P2616">
        <v>18.28</v>
      </c>
      <c r="Q2616">
        <v>0</v>
      </c>
      <c r="R2616">
        <v>0</v>
      </c>
      <c r="S2616">
        <v>3</v>
      </c>
      <c r="T2616">
        <v>0</v>
      </c>
      <c r="U2616" s="1">
        <v>0</v>
      </c>
      <c r="V2616">
        <v>21.28</v>
      </c>
    </row>
    <row r="2617" spans="1:22" ht="15">
      <c r="A2617" s="4">
        <v>2610</v>
      </c>
      <c r="B2617">
        <v>3356</v>
      </c>
      <c r="C2617" t="s">
        <v>5616</v>
      </c>
      <c r="D2617" t="s">
        <v>50</v>
      </c>
      <c r="E2617" t="s">
        <v>447</v>
      </c>
      <c r="F2617" t="s">
        <v>5617</v>
      </c>
      <c r="G2617" t="str">
        <f>"00361603"</f>
        <v>00361603</v>
      </c>
      <c r="H2617">
        <v>7.2</v>
      </c>
      <c r="I2617">
        <v>10</v>
      </c>
      <c r="M2617">
        <v>0</v>
      </c>
      <c r="N2617">
        <v>0</v>
      </c>
      <c r="O2617">
        <v>0</v>
      </c>
      <c r="P2617">
        <v>17.2</v>
      </c>
      <c r="Q2617">
        <v>4</v>
      </c>
      <c r="R2617">
        <v>4</v>
      </c>
      <c r="S2617">
        <v>0</v>
      </c>
      <c r="T2617">
        <v>0</v>
      </c>
      <c r="U2617" s="1">
        <v>0</v>
      </c>
      <c r="V2617">
        <v>21.2</v>
      </c>
    </row>
    <row r="2618" spans="1:22" ht="15">
      <c r="A2618" s="4">
        <v>2611</v>
      </c>
      <c r="B2618">
        <v>3224</v>
      </c>
      <c r="C2618" t="s">
        <v>5618</v>
      </c>
      <c r="D2618" t="s">
        <v>89</v>
      </c>
      <c r="E2618" t="s">
        <v>295</v>
      </c>
      <c r="F2618" t="s">
        <v>5619</v>
      </c>
      <c r="G2618" t="str">
        <f>"201402007966"</f>
        <v>201402007966</v>
      </c>
      <c r="H2618">
        <v>7.2</v>
      </c>
      <c r="I2618">
        <v>0</v>
      </c>
      <c r="L2618">
        <v>4</v>
      </c>
      <c r="M2618">
        <v>4</v>
      </c>
      <c r="N2618">
        <v>4</v>
      </c>
      <c r="O2618">
        <v>0</v>
      </c>
      <c r="P2618">
        <v>15.2</v>
      </c>
      <c r="Q2618">
        <v>0</v>
      </c>
      <c r="R2618">
        <v>0</v>
      </c>
      <c r="S2618">
        <v>6</v>
      </c>
      <c r="T2618">
        <v>0</v>
      </c>
      <c r="U2618" s="1">
        <v>0</v>
      </c>
      <c r="V2618">
        <v>21.2</v>
      </c>
    </row>
    <row r="2619" spans="1:22" ht="15">
      <c r="A2619" s="4">
        <v>2612</v>
      </c>
      <c r="B2619">
        <v>1357</v>
      </c>
      <c r="C2619" t="s">
        <v>2512</v>
      </c>
      <c r="D2619" t="s">
        <v>582</v>
      </c>
      <c r="E2619" t="s">
        <v>19</v>
      </c>
      <c r="F2619" t="s">
        <v>5620</v>
      </c>
      <c r="G2619" t="str">
        <f>"00508067"</f>
        <v>00508067</v>
      </c>
      <c r="H2619">
        <v>7.2</v>
      </c>
      <c r="I2619">
        <v>10</v>
      </c>
      <c r="M2619">
        <v>4</v>
      </c>
      <c r="N2619">
        <v>0</v>
      </c>
      <c r="O2619">
        <v>0</v>
      </c>
      <c r="P2619">
        <v>21.2</v>
      </c>
      <c r="Q2619">
        <v>0</v>
      </c>
      <c r="R2619">
        <v>0</v>
      </c>
      <c r="S2619">
        <v>0</v>
      </c>
      <c r="T2619">
        <v>0</v>
      </c>
      <c r="U2619" s="1">
        <v>0</v>
      </c>
      <c r="V2619">
        <v>21.2</v>
      </c>
    </row>
    <row r="2620" spans="1:22" ht="15">
      <c r="A2620" s="4">
        <v>2613</v>
      </c>
      <c r="B2620">
        <v>379</v>
      </c>
      <c r="C2620" t="s">
        <v>5621</v>
      </c>
      <c r="D2620" t="s">
        <v>179</v>
      </c>
      <c r="E2620" t="s">
        <v>403</v>
      </c>
      <c r="F2620" t="s">
        <v>5622</v>
      </c>
      <c r="G2620" t="str">
        <f>"00531104"</f>
        <v>00531104</v>
      </c>
      <c r="H2620">
        <v>7.2</v>
      </c>
      <c r="I2620">
        <v>0</v>
      </c>
      <c r="M2620">
        <v>0</v>
      </c>
      <c r="N2620">
        <v>0</v>
      </c>
      <c r="O2620">
        <v>0</v>
      </c>
      <c r="P2620">
        <v>7.2</v>
      </c>
      <c r="Q2620">
        <v>5</v>
      </c>
      <c r="R2620">
        <v>5</v>
      </c>
      <c r="S2620">
        <v>9</v>
      </c>
      <c r="T2620">
        <v>0</v>
      </c>
      <c r="U2620" s="1">
        <v>0</v>
      </c>
      <c r="V2620">
        <v>21.2</v>
      </c>
    </row>
    <row r="2621" spans="1:22" ht="15">
      <c r="A2621" s="4">
        <v>2614</v>
      </c>
      <c r="B2621">
        <v>306</v>
      </c>
      <c r="C2621" t="s">
        <v>5623</v>
      </c>
      <c r="D2621" t="s">
        <v>40</v>
      </c>
      <c r="E2621" t="s">
        <v>90</v>
      </c>
      <c r="F2621" t="s">
        <v>5624</v>
      </c>
      <c r="G2621" t="str">
        <f>"00348290"</f>
        <v>00348290</v>
      </c>
      <c r="H2621">
        <v>11.2</v>
      </c>
      <c r="I2621">
        <v>0</v>
      </c>
      <c r="M2621">
        <v>4</v>
      </c>
      <c r="N2621">
        <v>0</v>
      </c>
      <c r="O2621">
        <v>0</v>
      </c>
      <c r="P2621">
        <v>15.2</v>
      </c>
      <c r="Q2621">
        <v>0</v>
      </c>
      <c r="R2621">
        <v>0</v>
      </c>
      <c r="S2621">
        <v>6</v>
      </c>
      <c r="T2621">
        <v>0</v>
      </c>
      <c r="U2621" s="1">
        <v>0</v>
      </c>
      <c r="V2621">
        <v>21.2</v>
      </c>
    </row>
    <row r="2622" spans="1:22" ht="15">
      <c r="A2622" s="4">
        <v>2615</v>
      </c>
      <c r="B2622">
        <v>270</v>
      </c>
      <c r="C2622" t="s">
        <v>5625</v>
      </c>
      <c r="D2622" t="s">
        <v>1199</v>
      </c>
      <c r="E2622" t="s">
        <v>712</v>
      </c>
      <c r="F2622" t="s">
        <v>5626</v>
      </c>
      <c r="G2622" t="str">
        <f>"00138333"</f>
        <v>00138333</v>
      </c>
      <c r="H2622">
        <v>7.2</v>
      </c>
      <c r="I2622">
        <v>10</v>
      </c>
      <c r="M2622">
        <v>4</v>
      </c>
      <c r="N2622">
        <v>0</v>
      </c>
      <c r="O2622">
        <v>0</v>
      </c>
      <c r="P2622">
        <v>21.2</v>
      </c>
      <c r="Q2622">
        <v>0</v>
      </c>
      <c r="R2622">
        <v>0</v>
      </c>
      <c r="S2622">
        <v>0</v>
      </c>
      <c r="T2622">
        <v>0</v>
      </c>
      <c r="U2622" s="1">
        <v>0</v>
      </c>
      <c r="V2622">
        <v>21.2</v>
      </c>
    </row>
    <row r="2623" spans="1:22" ht="15">
      <c r="A2623" s="4">
        <v>2616</v>
      </c>
      <c r="B2623">
        <v>1009</v>
      </c>
      <c r="C2623" t="s">
        <v>5627</v>
      </c>
      <c r="D2623" t="s">
        <v>29</v>
      </c>
      <c r="E2623" t="s">
        <v>167</v>
      </c>
      <c r="F2623" t="s">
        <v>5628</v>
      </c>
      <c r="G2623" t="str">
        <f>"00442245"</f>
        <v>00442245</v>
      </c>
      <c r="H2623">
        <v>7.2</v>
      </c>
      <c r="I2623">
        <v>0</v>
      </c>
      <c r="J2623">
        <v>8</v>
      </c>
      <c r="M2623">
        <v>0</v>
      </c>
      <c r="N2623">
        <v>8</v>
      </c>
      <c r="O2623">
        <v>0</v>
      </c>
      <c r="P2623">
        <v>15.2</v>
      </c>
      <c r="Q2623">
        <v>0</v>
      </c>
      <c r="R2623">
        <v>0</v>
      </c>
      <c r="S2623">
        <v>6</v>
      </c>
      <c r="T2623">
        <v>0</v>
      </c>
      <c r="U2623" s="1">
        <v>0</v>
      </c>
      <c r="V2623">
        <v>21.2</v>
      </c>
    </row>
    <row r="2624" spans="1:22" ht="15">
      <c r="A2624" s="4">
        <v>2617</v>
      </c>
      <c r="B2624">
        <v>229</v>
      </c>
      <c r="C2624" t="s">
        <v>5629</v>
      </c>
      <c r="D2624" t="s">
        <v>14</v>
      </c>
      <c r="E2624" t="s">
        <v>11</v>
      </c>
      <c r="F2624" t="s">
        <v>5630</v>
      </c>
      <c r="G2624" t="str">
        <f>"201511031341"</f>
        <v>201511031341</v>
      </c>
      <c r="H2624">
        <v>7.2</v>
      </c>
      <c r="I2624">
        <v>10</v>
      </c>
      <c r="M2624">
        <v>4</v>
      </c>
      <c r="N2624">
        <v>0</v>
      </c>
      <c r="O2624">
        <v>0</v>
      </c>
      <c r="P2624">
        <v>21.2</v>
      </c>
      <c r="Q2624">
        <v>0</v>
      </c>
      <c r="R2624">
        <v>0</v>
      </c>
      <c r="S2624">
        <v>0</v>
      </c>
      <c r="T2624">
        <v>0</v>
      </c>
      <c r="U2624" s="1">
        <v>0</v>
      </c>
      <c r="V2624">
        <v>21.2</v>
      </c>
    </row>
    <row r="2625" spans="1:22" ht="15">
      <c r="A2625" s="4">
        <v>2618</v>
      </c>
      <c r="B2625">
        <v>905</v>
      </c>
      <c r="C2625" t="s">
        <v>5631</v>
      </c>
      <c r="D2625" t="s">
        <v>89</v>
      </c>
      <c r="E2625" t="s">
        <v>73</v>
      </c>
      <c r="F2625" t="s">
        <v>5632</v>
      </c>
      <c r="G2625" t="str">
        <f>"00530444"</f>
        <v>00530444</v>
      </c>
      <c r="H2625">
        <v>7.2</v>
      </c>
      <c r="I2625">
        <v>10</v>
      </c>
      <c r="M2625">
        <v>4</v>
      </c>
      <c r="N2625">
        <v>0</v>
      </c>
      <c r="O2625">
        <v>0</v>
      </c>
      <c r="P2625">
        <v>21.2</v>
      </c>
      <c r="Q2625">
        <v>0</v>
      </c>
      <c r="R2625">
        <v>0</v>
      </c>
      <c r="S2625">
        <v>0</v>
      </c>
      <c r="T2625">
        <v>0</v>
      </c>
      <c r="U2625" s="1">
        <v>0</v>
      </c>
      <c r="V2625">
        <v>21.2</v>
      </c>
    </row>
    <row r="2626" spans="1:22" ht="15">
      <c r="A2626" s="4">
        <v>2619</v>
      </c>
      <c r="B2626">
        <v>1787</v>
      </c>
      <c r="C2626" t="s">
        <v>400</v>
      </c>
      <c r="D2626" t="s">
        <v>5633</v>
      </c>
      <c r="E2626" t="s">
        <v>73</v>
      </c>
      <c r="F2626" t="s">
        <v>5634</v>
      </c>
      <c r="G2626" t="str">
        <f>"00531903"</f>
        <v>00531903</v>
      </c>
      <c r="H2626">
        <v>14.2</v>
      </c>
      <c r="I2626">
        <v>0</v>
      </c>
      <c r="M2626">
        <v>4</v>
      </c>
      <c r="N2626">
        <v>0</v>
      </c>
      <c r="O2626">
        <v>0</v>
      </c>
      <c r="P2626">
        <v>18.2</v>
      </c>
      <c r="Q2626">
        <v>0</v>
      </c>
      <c r="R2626">
        <v>0</v>
      </c>
      <c r="S2626">
        <v>3</v>
      </c>
      <c r="T2626">
        <v>0</v>
      </c>
      <c r="U2626" s="1">
        <v>0</v>
      </c>
      <c r="V2626">
        <v>21.2</v>
      </c>
    </row>
    <row r="2627" spans="1:22" ht="15">
      <c r="A2627" s="4">
        <v>2620</v>
      </c>
      <c r="B2627">
        <v>1394</v>
      </c>
      <c r="C2627" t="s">
        <v>5635</v>
      </c>
      <c r="D2627" t="s">
        <v>5636</v>
      </c>
      <c r="E2627" t="s">
        <v>197</v>
      </c>
      <c r="F2627" t="s">
        <v>5637</v>
      </c>
      <c r="G2627" t="str">
        <f>"00529899"</f>
        <v>00529899</v>
      </c>
      <c r="H2627">
        <v>7.2</v>
      </c>
      <c r="I2627">
        <v>0</v>
      </c>
      <c r="M2627">
        <v>4</v>
      </c>
      <c r="N2627">
        <v>0</v>
      </c>
      <c r="O2627">
        <v>0</v>
      </c>
      <c r="P2627">
        <v>11.2</v>
      </c>
      <c r="Q2627">
        <v>10</v>
      </c>
      <c r="R2627">
        <v>10</v>
      </c>
      <c r="S2627">
        <v>0</v>
      </c>
      <c r="T2627">
        <v>0</v>
      </c>
      <c r="U2627" s="1">
        <v>0</v>
      </c>
      <c r="V2627">
        <v>21.2</v>
      </c>
    </row>
    <row r="2628" spans="1:22" ht="15">
      <c r="A2628" s="4">
        <v>2621</v>
      </c>
      <c r="B2628">
        <v>821</v>
      </c>
      <c r="C2628" t="s">
        <v>2424</v>
      </c>
      <c r="D2628" t="s">
        <v>29</v>
      </c>
      <c r="E2628" t="s">
        <v>90</v>
      </c>
      <c r="F2628" t="s">
        <v>5638</v>
      </c>
      <c r="G2628" t="str">
        <f>"00529829"</f>
        <v>00529829</v>
      </c>
      <c r="H2628">
        <v>7.2</v>
      </c>
      <c r="I2628">
        <v>0</v>
      </c>
      <c r="L2628">
        <v>4</v>
      </c>
      <c r="M2628">
        <v>4</v>
      </c>
      <c r="N2628">
        <v>4</v>
      </c>
      <c r="O2628">
        <v>0</v>
      </c>
      <c r="P2628">
        <v>15.2</v>
      </c>
      <c r="Q2628">
        <v>0</v>
      </c>
      <c r="R2628">
        <v>0</v>
      </c>
      <c r="S2628">
        <v>6</v>
      </c>
      <c r="T2628">
        <v>0</v>
      </c>
      <c r="U2628" s="1">
        <v>0</v>
      </c>
      <c r="V2628">
        <v>21.2</v>
      </c>
    </row>
    <row r="2629" spans="1:22" ht="15">
      <c r="A2629" s="4">
        <v>2622</v>
      </c>
      <c r="B2629">
        <v>488</v>
      </c>
      <c r="C2629" t="s">
        <v>5639</v>
      </c>
      <c r="D2629" t="s">
        <v>493</v>
      </c>
      <c r="E2629" t="s">
        <v>19</v>
      </c>
      <c r="F2629" t="s">
        <v>5640</v>
      </c>
      <c r="G2629" t="str">
        <f>"00496358"</f>
        <v>00496358</v>
      </c>
      <c r="H2629">
        <v>7.2</v>
      </c>
      <c r="I2629">
        <v>0</v>
      </c>
      <c r="L2629">
        <v>4</v>
      </c>
      <c r="M2629">
        <v>4</v>
      </c>
      <c r="N2629">
        <v>4</v>
      </c>
      <c r="O2629">
        <v>0</v>
      </c>
      <c r="P2629">
        <v>15.2</v>
      </c>
      <c r="Q2629">
        <v>0</v>
      </c>
      <c r="R2629">
        <v>0</v>
      </c>
      <c r="S2629">
        <v>6</v>
      </c>
      <c r="T2629">
        <v>0</v>
      </c>
      <c r="U2629" s="1">
        <v>0</v>
      </c>
      <c r="V2629">
        <v>21.2</v>
      </c>
    </row>
    <row r="2630" spans="1:22" ht="15">
      <c r="A2630" s="4">
        <v>2623</v>
      </c>
      <c r="B2630">
        <v>2559</v>
      </c>
      <c r="C2630" t="s">
        <v>725</v>
      </c>
      <c r="D2630" t="s">
        <v>5641</v>
      </c>
      <c r="E2630" t="s">
        <v>190</v>
      </c>
      <c r="F2630" t="s">
        <v>5642</v>
      </c>
      <c r="G2630" t="str">
        <f>"201507003107"</f>
        <v>201507003107</v>
      </c>
      <c r="H2630">
        <v>7.2</v>
      </c>
      <c r="I2630">
        <v>10</v>
      </c>
      <c r="L2630">
        <v>4</v>
      </c>
      <c r="M2630">
        <v>0</v>
      </c>
      <c r="N2630">
        <v>4</v>
      </c>
      <c r="O2630">
        <v>0</v>
      </c>
      <c r="P2630">
        <v>21.2</v>
      </c>
      <c r="Q2630">
        <v>0</v>
      </c>
      <c r="R2630">
        <v>0</v>
      </c>
      <c r="S2630">
        <v>0</v>
      </c>
      <c r="T2630">
        <v>0</v>
      </c>
      <c r="U2630" s="1">
        <v>0</v>
      </c>
      <c r="V2630">
        <v>21.2</v>
      </c>
    </row>
    <row r="2631" spans="1:22" ht="15">
      <c r="A2631" s="4">
        <v>2624</v>
      </c>
      <c r="B2631">
        <v>1865</v>
      </c>
      <c r="C2631" t="s">
        <v>5643</v>
      </c>
      <c r="D2631" t="s">
        <v>568</v>
      </c>
      <c r="E2631" t="s">
        <v>55</v>
      </c>
      <c r="F2631" t="s">
        <v>5644</v>
      </c>
      <c r="G2631" t="str">
        <f>"00530727"</f>
        <v>00530727</v>
      </c>
      <c r="H2631">
        <v>15.16</v>
      </c>
      <c r="I2631">
        <v>0</v>
      </c>
      <c r="M2631">
        <v>0</v>
      </c>
      <c r="N2631">
        <v>0</v>
      </c>
      <c r="O2631">
        <v>0</v>
      </c>
      <c r="P2631">
        <v>15.16</v>
      </c>
      <c r="Q2631">
        <v>0</v>
      </c>
      <c r="R2631">
        <v>0</v>
      </c>
      <c r="S2631">
        <v>6</v>
      </c>
      <c r="T2631">
        <v>0</v>
      </c>
      <c r="U2631" s="1">
        <v>0</v>
      </c>
      <c r="V2631">
        <v>21.16</v>
      </c>
    </row>
    <row r="2632" spans="1:22" ht="15">
      <c r="A2632" s="4">
        <v>2625</v>
      </c>
      <c r="B2632">
        <v>2741</v>
      </c>
      <c r="C2632" t="s">
        <v>5645</v>
      </c>
      <c r="D2632" t="s">
        <v>5646</v>
      </c>
      <c r="E2632" t="s">
        <v>4650</v>
      </c>
      <c r="F2632" t="s">
        <v>5647</v>
      </c>
      <c r="G2632" t="str">
        <f>"00504944"</f>
        <v>00504944</v>
      </c>
      <c r="H2632">
        <v>0</v>
      </c>
      <c r="I2632">
        <v>0</v>
      </c>
      <c r="M2632">
        <v>4</v>
      </c>
      <c r="N2632">
        <v>0</v>
      </c>
      <c r="O2632">
        <v>0</v>
      </c>
      <c r="P2632">
        <v>4</v>
      </c>
      <c r="Q2632">
        <v>17</v>
      </c>
      <c r="R2632">
        <v>17</v>
      </c>
      <c r="S2632">
        <v>0</v>
      </c>
      <c r="T2632">
        <v>0</v>
      </c>
      <c r="U2632" s="1">
        <v>0</v>
      </c>
      <c r="V2632">
        <v>21</v>
      </c>
    </row>
    <row r="2633" spans="1:22" ht="15">
      <c r="A2633" s="4">
        <v>2626</v>
      </c>
      <c r="B2633">
        <v>1512</v>
      </c>
      <c r="C2633" t="s">
        <v>5648</v>
      </c>
      <c r="D2633" t="s">
        <v>29</v>
      </c>
      <c r="E2633" t="s">
        <v>19</v>
      </c>
      <c r="F2633" t="s">
        <v>5649</v>
      </c>
      <c r="G2633" t="str">
        <f>"00003633"</f>
        <v>00003633</v>
      </c>
      <c r="H2633">
        <v>9.8</v>
      </c>
      <c r="I2633">
        <v>0</v>
      </c>
      <c r="M2633">
        <v>0</v>
      </c>
      <c r="N2633">
        <v>0</v>
      </c>
      <c r="O2633">
        <v>0</v>
      </c>
      <c r="P2633">
        <v>9.8</v>
      </c>
      <c r="Q2633">
        <v>11</v>
      </c>
      <c r="R2633">
        <v>11</v>
      </c>
      <c r="S2633">
        <v>0</v>
      </c>
      <c r="T2633">
        <v>0</v>
      </c>
      <c r="U2633" s="1">
        <v>0</v>
      </c>
      <c r="V2633">
        <v>20.8</v>
      </c>
    </row>
    <row r="2634" spans="1:22" ht="15">
      <c r="A2634" s="4">
        <v>2627</v>
      </c>
      <c r="B2634">
        <v>2111</v>
      </c>
      <c r="C2634" t="s">
        <v>5650</v>
      </c>
      <c r="D2634" t="s">
        <v>26</v>
      </c>
      <c r="E2634" t="s">
        <v>11</v>
      </c>
      <c r="F2634" t="s">
        <v>5651</v>
      </c>
      <c r="G2634" t="str">
        <f>"00531316"</f>
        <v>00531316</v>
      </c>
      <c r="H2634">
        <v>14.48</v>
      </c>
      <c r="I2634">
        <v>0</v>
      </c>
      <c r="M2634">
        <v>0</v>
      </c>
      <c r="N2634">
        <v>0</v>
      </c>
      <c r="O2634">
        <v>0</v>
      </c>
      <c r="P2634">
        <v>14.48</v>
      </c>
      <c r="Q2634">
        <v>0</v>
      </c>
      <c r="R2634">
        <v>0</v>
      </c>
      <c r="S2634">
        <v>6</v>
      </c>
      <c r="T2634">
        <v>0</v>
      </c>
      <c r="U2634" s="1">
        <v>0</v>
      </c>
      <c r="V2634">
        <v>20.48</v>
      </c>
    </row>
    <row r="2635" spans="1:22" ht="15">
      <c r="A2635" s="4">
        <v>2628</v>
      </c>
      <c r="B2635">
        <v>2376</v>
      </c>
      <c r="C2635" t="s">
        <v>5652</v>
      </c>
      <c r="D2635" t="s">
        <v>2217</v>
      </c>
      <c r="E2635" t="s">
        <v>5653</v>
      </c>
      <c r="F2635" t="s">
        <v>5654</v>
      </c>
      <c r="G2635" t="str">
        <f>"00534284"</f>
        <v>00534284</v>
      </c>
      <c r="H2635">
        <v>14.4</v>
      </c>
      <c r="I2635">
        <v>0</v>
      </c>
      <c r="M2635">
        <v>0</v>
      </c>
      <c r="N2635">
        <v>0</v>
      </c>
      <c r="O2635">
        <v>0</v>
      </c>
      <c r="P2635">
        <v>14.4</v>
      </c>
      <c r="Q2635">
        <v>0</v>
      </c>
      <c r="R2635">
        <v>0</v>
      </c>
      <c r="S2635">
        <v>6</v>
      </c>
      <c r="T2635">
        <v>0</v>
      </c>
      <c r="U2635" s="1">
        <v>0</v>
      </c>
      <c r="V2635">
        <v>20.4</v>
      </c>
    </row>
    <row r="2636" spans="1:22" ht="15">
      <c r="A2636" s="4">
        <v>2629</v>
      </c>
      <c r="B2636">
        <v>2459</v>
      </c>
      <c r="C2636" t="s">
        <v>5655</v>
      </c>
      <c r="D2636" t="s">
        <v>121</v>
      </c>
      <c r="E2636" t="s">
        <v>112</v>
      </c>
      <c r="F2636" t="s">
        <v>5656</v>
      </c>
      <c r="G2636" t="str">
        <f>"00531966"</f>
        <v>00531966</v>
      </c>
      <c r="H2636">
        <v>14.4</v>
      </c>
      <c r="I2636">
        <v>0</v>
      </c>
      <c r="M2636">
        <v>0</v>
      </c>
      <c r="N2636">
        <v>0</v>
      </c>
      <c r="O2636">
        <v>0</v>
      </c>
      <c r="P2636">
        <v>14.4</v>
      </c>
      <c r="Q2636">
        <v>0</v>
      </c>
      <c r="R2636">
        <v>0</v>
      </c>
      <c r="S2636">
        <v>6</v>
      </c>
      <c r="T2636">
        <v>0</v>
      </c>
      <c r="U2636" s="1">
        <v>0</v>
      </c>
      <c r="V2636">
        <v>20.4</v>
      </c>
    </row>
    <row r="2637" spans="1:22" ht="15">
      <c r="A2637" s="4">
        <v>2630</v>
      </c>
      <c r="B2637">
        <v>2774</v>
      </c>
      <c r="C2637" t="s">
        <v>5657</v>
      </c>
      <c r="D2637" t="s">
        <v>5658</v>
      </c>
      <c r="E2637" t="s">
        <v>440</v>
      </c>
      <c r="F2637" t="s">
        <v>5659</v>
      </c>
      <c r="G2637" t="str">
        <f>"00533081"</f>
        <v>00533081</v>
      </c>
      <c r="H2637">
        <v>14.4</v>
      </c>
      <c r="I2637">
        <v>0</v>
      </c>
      <c r="M2637">
        <v>4</v>
      </c>
      <c r="N2637">
        <v>0</v>
      </c>
      <c r="O2637">
        <v>2</v>
      </c>
      <c r="P2637">
        <v>20.4</v>
      </c>
      <c r="Q2637">
        <v>0</v>
      </c>
      <c r="R2637">
        <v>0</v>
      </c>
      <c r="S2637">
        <v>0</v>
      </c>
      <c r="T2637">
        <v>0</v>
      </c>
      <c r="U2637" s="1">
        <v>0</v>
      </c>
      <c r="V2637">
        <v>20.4</v>
      </c>
    </row>
    <row r="2638" spans="1:22" ht="15">
      <c r="A2638" s="4">
        <v>2631</v>
      </c>
      <c r="B2638">
        <v>2590</v>
      </c>
      <c r="C2638" t="s">
        <v>5660</v>
      </c>
      <c r="D2638" t="s">
        <v>14</v>
      </c>
      <c r="E2638" t="s">
        <v>83</v>
      </c>
      <c r="F2638" t="s">
        <v>5661</v>
      </c>
      <c r="G2638" t="str">
        <f>"00532573"</f>
        <v>00532573</v>
      </c>
      <c r="H2638">
        <v>14.4</v>
      </c>
      <c r="I2638">
        <v>0</v>
      </c>
      <c r="M2638">
        <v>0</v>
      </c>
      <c r="N2638">
        <v>0</v>
      </c>
      <c r="O2638">
        <v>0</v>
      </c>
      <c r="P2638">
        <v>14.4</v>
      </c>
      <c r="Q2638">
        <v>0</v>
      </c>
      <c r="R2638">
        <v>0</v>
      </c>
      <c r="S2638">
        <v>6</v>
      </c>
      <c r="T2638">
        <v>0</v>
      </c>
      <c r="U2638" s="1">
        <v>0</v>
      </c>
      <c r="V2638">
        <v>20.4</v>
      </c>
    </row>
    <row r="2639" spans="1:22" ht="15">
      <c r="A2639" s="4">
        <v>2632</v>
      </c>
      <c r="B2639">
        <v>1097</v>
      </c>
      <c r="C2639" t="s">
        <v>4181</v>
      </c>
      <c r="D2639" t="s">
        <v>83</v>
      </c>
      <c r="E2639" t="s">
        <v>51</v>
      </c>
      <c r="F2639" t="s">
        <v>5662</v>
      </c>
      <c r="G2639" t="str">
        <f>"00531550"</f>
        <v>00531550</v>
      </c>
      <c r="H2639">
        <v>18.4</v>
      </c>
      <c r="I2639">
        <v>0</v>
      </c>
      <c r="M2639">
        <v>0</v>
      </c>
      <c r="N2639">
        <v>0</v>
      </c>
      <c r="O2639">
        <v>2</v>
      </c>
      <c r="P2639">
        <v>20.4</v>
      </c>
      <c r="Q2639">
        <v>0</v>
      </c>
      <c r="R2639">
        <v>0</v>
      </c>
      <c r="S2639">
        <v>0</v>
      </c>
      <c r="T2639">
        <v>0</v>
      </c>
      <c r="U2639" s="1">
        <v>0</v>
      </c>
      <c r="V2639">
        <v>20.4</v>
      </c>
    </row>
    <row r="2640" spans="1:22" ht="15">
      <c r="A2640" s="4">
        <v>2633</v>
      </c>
      <c r="B2640">
        <v>2677</v>
      </c>
      <c r="C2640" t="s">
        <v>5663</v>
      </c>
      <c r="D2640" t="s">
        <v>73</v>
      </c>
      <c r="E2640" t="s">
        <v>11</v>
      </c>
      <c r="F2640" t="s">
        <v>5664</v>
      </c>
      <c r="G2640" t="str">
        <f>"00523477"</f>
        <v>00523477</v>
      </c>
      <c r="H2640">
        <v>14.4</v>
      </c>
      <c r="I2640">
        <v>0</v>
      </c>
      <c r="M2640">
        <v>0</v>
      </c>
      <c r="N2640">
        <v>0</v>
      </c>
      <c r="O2640">
        <v>0</v>
      </c>
      <c r="P2640">
        <v>14.4</v>
      </c>
      <c r="Q2640">
        <v>0</v>
      </c>
      <c r="R2640">
        <v>0</v>
      </c>
      <c r="S2640">
        <v>6</v>
      </c>
      <c r="T2640">
        <v>0</v>
      </c>
      <c r="U2640" s="1">
        <v>0</v>
      </c>
      <c r="V2640">
        <v>20.4</v>
      </c>
    </row>
    <row r="2641" spans="1:22" ht="15">
      <c r="A2641" s="4">
        <v>2634</v>
      </c>
      <c r="B2641">
        <v>2097</v>
      </c>
      <c r="C2641" t="s">
        <v>5665</v>
      </c>
      <c r="D2641" t="s">
        <v>179</v>
      </c>
      <c r="E2641" t="s">
        <v>11</v>
      </c>
      <c r="F2641" t="s">
        <v>5666</v>
      </c>
      <c r="G2641" t="str">
        <f>"00292941"</f>
        <v>00292941</v>
      </c>
      <c r="H2641">
        <v>14.4</v>
      </c>
      <c r="I2641">
        <v>0</v>
      </c>
      <c r="M2641">
        <v>0</v>
      </c>
      <c r="N2641">
        <v>0</v>
      </c>
      <c r="O2641">
        <v>0</v>
      </c>
      <c r="P2641">
        <v>14.4</v>
      </c>
      <c r="Q2641">
        <v>0</v>
      </c>
      <c r="R2641">
        <v>0</v>
      </c>
      <c r="S2641">
        <v>6</v>
      </c>
      <c r="T2641">
        <v>0</v>
      </c>
      <c r="U2641" s="1">
        <v>0</v>
      </c>
      <c r="V2641">
        <v>20.4</v>
      </c>
    </row>
    <row r="2642" spans="1:22" ht="15">
      <c r="A2642" s="4">
        <v>2635</v>
      </c>
      <c r="B2642">
        <v>813</v>
      </c>
      <c r="C2642" t="s">
        <v>5667</v>
      </c>
      <c r="D2642" t="s">
        <v>582</v>
      </c>
      <c r="E2642" t="s">
        <v>30</v>
      </c>
      <c r="F2642" t="s">
        <v>5668</v>
      </c>
      <c r="G2642" t="str">
        <f>"201511010288"</f>
        <v>201511010288</v>
      </c>
      <c r="H2642">
        <v>14.4</v>
      </c>
      <c r="I2642">
        <v>0</v>
      </c>
      <c r="M2642">
        <v>0</v>
      </c>
      <c r="N2642">
        <v>0</v>
      </c>
      <c r="O2642">
        <v>0</v>
      </c>
      <c r="P2642">
        <v>14.4</v>
      </c>
      <c r="Q2642">
        <v>6</v>
      </c>
      <c r="R2642">
        <v>6</v>
      </c>
      <c r="S2642">
        <v>0</v>
      </c>
      <c r="T2642">
        <v>0</v>
      </c>
      <c r="U2642" s="1">
        <v>0</v>
      </c>
      <c r="V2642">
        <v>20.4</v>
      </c>
    </row>
    <row r="2643" spans="1:22" ht="15">
      <c r="A2643" s="4">
        <v>2636</v>
      </c>
      <c r="B2643">
        <v>2273</v>
      </c>
      <c r="C2643" t="s">
        <v>3255</v>
      </c>
      <c r="D2643" t="s">
        <v>68</v>
      </c>
      <c r="E2643" t="s">
        <v>575</v>
      </c>
      <c r="F2643" t="s">
        <v>5669</v>
      </c>
      <c r="G2643" t="str">
        <f>"00441775"</f>
        <v>00441775</v>
      </c>
      <c r="H2643">
        <v>14.4</v>
      </c>
      <c r="I2643">
        <v>0</v>
      </c>
      <c r="M2643">
        <v>4</v>
      </c>
      <c r="N2643">
        <v>0</v>
      </c>
      <c r="O2643">
        <v>2</v>
      </c>
      <c r="P2643">
        <v>20.4</v>
      </c>
      <c r="Q2643">
        <v>0</v>
      </c>
      <c r="R2643">
        <v>0</v>
      </c>
      <c r="S2643">
        <v>0</v>
      </c>
      <c r="T2643">
        <v>0</v>
      </c>
      <c r="U2643" s="1">
        <v>0</v>
      </c>
      <c r="V2643">
        <v>20.4</v>
      </c>
    </row>
    <row r="2644" spans="1:22" ht="15">
      <c r="A2644" s="4">
        <v>2637</v>
      </c>
      <c r="B2644">
        <v>2812</v>
      </c>
      <c r="C2644" t="s">
        <v>5670</v>
      </c>
      <c r="D2644" t="s">
        <v>280</v>
      </c>
      <c r="E2644" t="s">
        <v>447</v>
      </c>
      <c r="F2644" t="s">
        <v>5671</v>
      </c>
      <c r="G2644" t="str">
        <f>"00509663"</f>
        <v>00509663</v>
      </c>
      <c r="H2644">
        <v>14.4</v>
      </c>
      <c r="I2644">
        <v>0</v>
      </c>
      <c r="M2644">
        <v>0</v>
      </c>
      <c r="N2644">
        <v>0</v>
      </c>
      <c r="O2644">
        <v>0</v>
      </c>
      <c r="P2644">
        <v>14.4</v>
      </c>
      <c r="Q2644">
        <v>6</v>
      </c>
      <c r="R2644">
        <v>6</v>
      </c>
      <c r="S2644">
        <v>0</v>
      </c>
      <c r="T2644">
        <v>0</v>
      </c>
      <c r="U2644" s="1" t="s">
        <v>6251</v>
      </c>
      <c r="V2644">
        <v>20.4</v>
      </c>
    </row>
    <row r="2645" spans="1:22" ht="15">
      <c r="A2645" s="4">
        <v>2638</v>
      </c>
      <c r="B2645">
        <v>2997</v>
      </c>
      <c r="C2645" t="s">
        <v>5672</v>
      </c>
      <c r="D2645" t="s">
        <v>2586</v>
      </c>
      <c r="E2645" t="s">
        <v>83</v>
      </c>
      <c r="F2645" t="s">
        <v>5673</v>
      </c>
      <c r="G2645" t="str">
        <f>"00214755"</f>
        <v>00214755</v>
      </c>
      <c r="H2645">
        <v>14.4</v>
      </c>
      <c r="I2645">
        <v>0</v>
      </c>
      <c r="M2645">
        <v>0</v>
      </c>
      <c r="N2645">
        <v>0</v>
      </c>
      <c r="O2645">
        <v>0</v>
      </c>
      <c r="P2645">
        <v>14.4</v>
      </c>
      <c r="Q2645">
        <v>0</v>
      </c>
      <c r="R2645">
        <v>0</v>
      </c>
      <c r="S2645">
        <v>6</v>
      </c>
      <c r="T2645">
        <v>0</v>
      </c>
      <c r="U2645" s="1">
        <v>0</v>
      </c>
      <c r="V2645">
        <v>20.4</v>
      </c>
    </row>
    <row r="2646" spans="1:22" ht="15">
      <c r="A2646" s="4">
        <v>2639</v>
      </c>
      <c r="B2646">
        <v>1241</v>
      </c>
      <c r="C2646" t="s">
        <v>5674</v>
      </c>
      <c r="D2646" t="s">
        <v>40</v>
      </c>
      <c r="E2646" t="s">
        <v>242</v>
      </c>
      <c r="F2646" t="s">
        <v>5675</v>
      </c>
      <c r="G2646" t="str">
        <f>"00263230"</f>
        <v>00263230</v>
      </c>
      <c r="H2646">
        <v>14.4</v>
      </c>
      <c r="I2646">
        <v>0</v>
      </c>
      <c r="M2646">
        <v>0</v>
      </c>
      <c r="N2646">
        <v>0</v>
      </c>
      <c r="O2646">
        <v>0</v>
      </c>
      <c r="P2646">
        <v>14.4</v>
      </c>
      <c r="Q2646">
        <v>0</v>
      </c>
      <c r="R2646">
        <v>0</v>
      </c>
      <c r="S2646">
        <v>6</v>
      </c>
      <c r="T2646">
        <v>0</v>
      </c>
      <c r="U2646" s="1">
        <v>0</v>
      </c>
      <c r="V2646">
        <v>20.4</v>
      </c>
    </row>
    <row r="2647" spans="1:22" ht="15">
      <c r="A2647" s="4">
        <v>2640</v>
      </c>
      <c r="B2647">
        <v>3030</v>
      </c>
      <c r="C2647" t="s">
        <v>5676</v>
      </c>
      <c r="D2647" t="s">
        <v>89</v>
      </c>
      <c r="E2647" t="s">
        <v>11</v>
      </c>
      <c r="F2647" t="s">
        <v>5677</v>
      </c>
      <c r="G2647" t="str">
        <f>"00491271"</f>
        <v>00491271</v>
      </c>
      <c r="H2647">
        <v>14.4</v>
      </c>
      <c r="I2647">
        <v>0</v>
      </c>
      <c r="M2647">
        <v>4</v>
      </c>
      <c r="N2647">
        <v>0</v>
      </c>
      <c r="O2647">
        <v>2</v>
      </c>
      <c r="P2647">
        <v>20.4</v>
      </c>
      <c r="Q2647">
        <v>0</v>
      </c>
      <c r="R2647">
        <v>0</v>
      </c>
      <c r="S2647">
        <v>0</v>
      </c>
      <c r="T2647">
        <v>0</v>
      </c>
      <c r="U2647" s="1">
        <v>0</v>
      </c>
      <c r="V2647">
        <v>20.4</v>
      </c>
    </row>
    <row r="2648" spans="1:22" ht="15">
      <c r="A2648" s="4">
        <v>2641</v>
      </c>
      <c r="B2648">
        <v>1453</v>
      </c>
      <c r="C2648" t="s">
        <v>5678</v>
      </c>
      <c r="D2648" t="s">
        <v>89</v>
      </c>
      <c r="E2648" t="s">
        <v>5679</v>
      </c>
      <c r="F2648" t="s">
        <v>5680</v>
      </c>
      <c r="G2648" t="str">
        <f>"00356018"</f>
        <v>00356018</v>
      </c>
      <c r="H2648">
        <v>16.32</v>
      </c>
      <c r="I2648">
        <v>0</v>
      </c>
      <c r="M2648">
        <v>4</v>
      </c>
      <c r="N2648">
        <v>0</v>
      </c>
      <c r="O2648">
        <v>0</v>
      </c>
      <c r="P2648">
        <v>20.32</v>
      </c>
      <c r="Q2648">
        <v>0</v>
      </c>
      <c r="R2648">
        <v>0</v>
      </c>
      <c r="S2648">
        <v>0</v>
      </c>
      <c r="T2648">
        <v>0</v>
      </c>
      <c r="U2648" s="1">
        <v>0</v>
      </c>
      <c r="V2648">
        <v>20.32</v>
      </c>
    </row>
    <row r="2649" spans="1:22" ht="15">
      <c r="A2649" s="4">
        <v>2642</v>
      </c>
      <c r="B2649">
        <v>2927</v>
      </c>
      <c r="C2649" t="s">
        <v>789</v>
      </c>
      <c r="D2649" t="s">
        <v>89</v>
      </c>
      <c r="E2649" t="s">
        <v>5681</v>
      </c>
      <c r="F2649" t="s">
        <v>5682</v>
      </c>
      <c r="G2649" t="str">
        <f>"00496190"</f>
        <v>00496190</v>
      </c>
      <c r="H2649">
        <v>7.2</v>
      </c>
      <c r="I2649">
        <v>10</v>
      </c>
      <c r="M2649">
        <v>0</v>
      </c>
      <c r="N2649">
        <v>0</v>
      </c>
      <c r="O2649">
        <v>0</v>
      </c>
      <c r="P2649">
        <v>17.2</v>
      </c>
      <c r="Q2649">
        <v>0</v>
      </c>
      <c r="R2649">
        <v>0</v>
      </c>
      <c r="S2649">
        <v>3</v>
      </c>
      <c r="T2649">
        <v>0</v>
      </c>
      <c r="U2649" s="1">
        <v>0</v>
      </c>
      <c r="V2649">
        <v>20.2</v>
      </c>
    </row>
    <row r="2650" spans="1:22" ht="15">
      <c r="A2650" s="4">
        <v>2643</v>
      </c>
      <c r="B2650">
        <v>824</v>
      </c>
      <c r="C2650" t="s">
        <v>5683</v>
      </c>
      <c r="D2650" t="s">
        <v>580</v>
      </c>
      <c r="E2650" t="s">
        <v>41</v>
      </c>
      <c r="F2650" t="s">
        <v>5684</v>
      </c>
      <c r="G2650" t="str">
        <f>"201511041648"</f>
        <v>201511041648</v>
      </c>
      <c r="H2650">
        <v>10.12</v>
      </c>
      <c r="I2650">
        <v>0</v>
      </c>
      <c r="M2650">
        <v>4</v>
      </c>
      <c r="N2650">
        <v>0</v>
      </c>
      <c r="O2650">
        <v>0</v>
      </c>
      <c r="P2650">
        <v>14.12</v>
      </c>
      <c r="Q2650">
        <v>0</v>
      </c>
      <c r="R2650">
        <v>0</v>
      </c>
      <c r="S2650">
        <v>6</v>
      </c>
      <c r="T2650">
        <v>0</v>
      </c>
      <c r="U2650" s="1">
        <v>0</v>
      </c>
      <c r="V2650">
        <v>20.12</v>
      </c>
    </row>
    <row r="2651" spans="1:22" ht="15">
      <c r="A2651" s="4">
        <v>2644</v>
      </c>
      <c r="B2651">
        <v>3313</v>
      </c>
      <c r="C2651" t="s">
        <v>5685</v>
      </c>
      <c r="D2651" t="s">
        <v>511</v>
      </c>
      <c r="E2651" t="s">
        <v>1497</v>
      </c>
      <c r="F2651" t="s">
        <v>5686</v>
      </c>
      <c r="G2651" t="str">
        <f>"00531023"</f>
        <v>00531023</v>
      </c>
      <c r="H2651">
        <v>14.12</v>
      </c>
      <c r="I2651">
        <v>0</v>
      </c>
      <c r="M2651">
        <v>0</v>
      </c>
      <c r="N2651">
        <v>0</v>
      </c>
      <c r="O2651">
        <v>0</v>
      </c>
      <c r="P2651">
        <v>14.12</v>
      </c>
      <c r="Q2651">
        <v>0</v>
      </c>
      <c r="R2651">
        <v>0</v>
      </c>
      <c r="S2651">
        <v>6</v>
      </c>
      <c r="T2651">
        <v>0</v>
      </c>
      <c r="U2651" s="1">
        <v>0</v>
      </c>
      <c r="V2651">
        <v>20.12</v>
      </c>
    </row>
    <row r="2652" spans="1:22" ht="15">
      <c r="A2652" s="4">
        <v>2645</v>
      </c>
      <c r="B2652">
        <v>1363</v>
      </c>
      <c r="C2652" t="s">
        <v>5687</v>
      </c>
      <c r="D2652" t="s">
        <v>102</v>
      </c>
      <c r="E2652" t="s">
        <v>90</v>
      </c>
      <c r="F2652" t="s">
        <v>5688</v>
      </c>
      <c r="G2652" t="str">
        <f>"00530188"</f>
        <v>00530188</v>
      </c>
      <c r="H2652">
        <v>20</v>
      </c>
      <c r="I2652">
        <v>0</v>
      </c>
      <c r="M2652">
        <v>0</v>
      </c>
      <c r="N2652">
        <v>0</v>
      </c>
      <c r="O2652">
        <v>0</v>
      </c>
      <c r="P2652">
        <v>20</v>
      </c>
      <c r="Q2652">
        <v>0</v>
      </c>
      <c r="R2652">
        <v>0</v>
      </c>
      <c r="S2652">
        <v>0</v>
      </c>
      <c r="T2652">
        <v>0</v>
      </c>
      <c r="U2652" s="1">
        <v>0</v>
      </c>
      <c r="V2652">
        <v>20</v>
      </c>
    </row>
    <row r="2653" spans="1:22" ht="15">
      <c r="A2653" s="4">
        <v>2646</v>
      </c>
      <c r="B2653">
        <v>81</v>
      </c>
      <c r="C2653" t="s">
        <v>5689</v>
      </c>
      <c r="D2653" t="s">
        <v>15</v>
      </c>
      <c r="E2653" t="s">
        <v>5690</v>
      </c>
      <c r="F2653" t="s">
        <v>5691</v>
      </c>
      <c r="G2653" t="str">
        <f>"00527467"</f>
        <v>00527467</v>
      </c>
      <c r="H2653">
        <v>0</v>
      </c>
      <c r="I2653">
        <v>10</v>
      </c>
      <c r="L2653">
        <v>4</v>
      </c>
      <c r="M2653">
        <v>4</v>
      </c>
      <c r="N2653">
        <v>4</v>
      </c>
      <c r="O2653">
        <v>0</v>
      </c>
      <c r="P2653">
        <v>18</v>
      </c>
      <c r="Q2653">
        <v>2</v>
      </c>
      <c r="R2653">
        <v>2</v>
      </c>
      <c r="S2653">
        <v>0</v>
      </c>
      <c r="T2653">
        <v>0</v>
      </c>
      <c r="U2653" s="1">
        <v>0</v>
      </c>
      <c r="V2653">
        <v>20</v>
      </c>
    </row>
    <row r="2654" spans="1:22" ht="15">
      <c r="A2654" s="4">
        <v>2647</v>
      </c>
      <c r="B2654">
        <v>2594</v>
      </c>
      <c r="C2654" t="s">
        <v>5692</v>
      </c>
      <c r="D2654" t="s">
        <v>14</v>
      </c>
      <c r="E2654" t="s">
        <v>447</v>
      </c>
      <c r="F2654" t="s">
        <v>5693</v>
      </c>
      <c r="G2654" t="str">
        <f>"00518970"</f>
        <v>00518970</v>
      </c>
      <c r="H2654">
        <v>0</v>
      </c>
      <c r="I2654">
        <v>0</v>
      </c>
      <c r="M2654">
        <v>4</v>
      </c>
      <c r="N2654">
        <v>0</v>
      </c>
      <c r="O2654">
        <v>0</v>
      </c>
      <c r="P2654">
        <v>4</v>
      </c>
      <c r="Q2654">
        <v>16</v>
      </c>
      <c r="R2654">
        <v>16</v>
      </c>
      <c r="S2654">
        <v>0</v>
      </c>
      <c r="T2654">
        <v>0</v>
      </c>
      <c r="U2654" s="1">
        <v>0</v>
      </c>
      <c r="V2654">
        <v>20</v>
      </c>
    </row>
    <row r="2655" spans="1:22" ht="15">
      <c r="A2655" s="4">
        <v>2648</v>
      </c>
      <c r="B2655">
        <v>1457</v>
      </c>
      <c r="C2655" t="s">
        <v>653</v>
      </c>
      <c r="D2655" t="s">
        <v>89</v>
      </c>
      <c r="E2655" t="s">
        <v>90</v>
      </c>
      <c r="F2655" t="s">
        <v>5694</v>
      </c>
      <c r="G2655" t="str">
        <f>"00152256"</f>
        <v>00152256</v>
      </c>
      <c r="H2655">
        <v>0</v>
      </c>
      <c r="I2655">
        <v>10</v>
      </c>
      <c r="M2655">
        <v>4</v>
      </c>
      <c r="N2655">
        <v>0</v>
      </c>
      <c r="O2655">
        <v>0</v>
      </c>
      <c r="P2655">
        <v>14</v>
      </c>
      <c r="Q2655">
        <v>0</v>
      </c>
      <c r="R2655">
        <v>0</v>
      </c>
      <c r="S2655">
        <v>6</v>
      </c>
      <c r="T2655">
        <v>0</v>
      </c>
      <c r="U2655" s="1">
        <v>0</v>
      </c>
      <c r="V2655">
        <v>20</v>
      </c>
    </row>
    <row r="2656" spans="1:22" ht="15">
      <c r="A2656" s="4">
        <v>2649</v>
      </c>
      <c r="B2656">
        <v>790</v>
      </c>
      <c r="C2656" t="s">
        <v>4036</v>
      </c>
      <c r="D2656" t="s">
        <v>173</v>
      </c>
      <c r="E2656" t="s">
        <v>55</v>
      </c>
      <c r="F2656" t="s">
        <v>5695</v>
      </c>
      <c r="G2656" t="str">
        <f>"00475603"</f>
        <v>00475603</v>
      </c>
      <c r="H2656">
        <v>0</v>
      </c>
      <c r="I2656">
        <v>10</v>
      </c>
      <c r="L2656">
        <v>4</v>
      </c>
      <c r="M2656">
        <v>4</v>
      </c>
      <c r="N2656">
        <v>4</v>
      </c>
      <c r="O2656">
        <v>2</v>
      </c>
      <c r="P2656">
        <v>20</v>
      </c>
      <c r="Q2656">
        <v>0</v>
      </c>
      <c r="R2656">
        <v>0</v>
      </c>
      <c r="S2656">
        <v>0</v>
      </c>
      <c r="T2656">
        <v>0</v>
      </c>
      <c r="U2656" s="1">
        <v>0</v>
      </c>
      <c r="V2656">
        <v>20</v>
      </c>
    </row>
    <row r="2657" spans="1:22" ht="15">
      <c r="A2657" s="4">
        <v>2650</v>
      </c>
      <c r="B2657">
        <v>3255</v>
      </c>
      <c r="C2657" t="s">
        <v>1524</v>
      </c>
      <c r="D2657" t="s">
        <v>89</v>
      </c>
      <c r="E2657" t="s">
        <v>19</v>
      </c>
      <c r="F2657" t="s">
        <v>5696</v>
      </c>
      <c r="G2657" t="str">
        <f>"00516838"</f>
        <v>00516838</v>
      </c>
      <c r="H2657">
        <v>13.8</v>
      </c>
      <c r="I2657">
        <v>0</v>
      </c>
      <c r="M2657">
        <v>0</v>
      </c>
      <c r="N2657">
        <v>0</v>
      </c>
      <c r="O2657">
        <v>0</v>
      </c>
      <c r="P2657">
        <v>13.8</v>
      </c>
      <c r="Q2657">
        <v>0</v>
      </c>
      <c r="R2657">
        <v>0</v>
      </c>
      <c r="S2657">
        <v>6</v>
      </c>
      <c r="T2657">
        <v>0</v>
      </c>
      <c r="U2657" s="1">
        <v>0</v>
      </c>
      <c r="V2657">
        <v>19.8</v>
      </c>
    </row>
    <row r="2658" spans="1:22" ht="15">
      <c r="A2658" s="4">
        <v>2651</v>
      </c>
      <c r="B2658">
        <v>74</v>
      </c>
      <c r="C2658" t="s">
        <v>5697</v>
      </c>
      <c r="D2658" t="s">
        <v>523</v>
      </c>
      <c r="E2658" t="s">
        <v>4922</v>
      </c>
      <c r="F2658" t="s">
        <v>5698</v>
      </c>
      <c r="G2658" t="str">
        <f>"00209218"</f>
        <v>00209218</v>
      </c>
      <c r="H2658">
        <v>19.72</v>
      </c>
      <c r="I2658">
        <v>0</v>
      </c>
      <c r="M2658">
        <v>0</v>
      </c>
      <c r="N2658">
        <v>0</v>
      </c>
      <c r="O2658">
        <v>0</v>
      </c>
      <c r="P2658">
        <v>19.72</v>
      </c>
      <c r="Q2658">
        <v>0</v>
      </c>
      <c r="R2658">
        <v>0</v>
      </c>
      <c r="S2658">
        <v>0</v>
      </c>
      <c r="T2658">
        <v>0</v>
      </c>
      <c r="U2658" s="1">
        <v>0</v>
      </c>
      <c r="V2658">
        <v>19.72</v>
      </c>
    </row>
    <row r="2659" spans="1:22" ht="15">
      <c r="A2659" s="4">
        <v>2652</v>
      </c>
      <c r="B2659">
        <v>1054</v>
      </c>
      <c r="C2659" t="s">
        <v>5699</v>
      </c>
      <c r="D2659" t="s">
        <v>89</v>
      </c>
      <c r="E2659" t="s">
        <v>201</v>
      </c>
      <c r="F2659" t="s">
        <v>5700</v>
      </c>
      <c r="G2659" t="str">
        <f>"201604002929"</f>
        <v>201604002929</v>
      </c>
      <c r="H2659">
        <v>15.6</v>
      </c>
      <c r="I2659">
        <v>0</v>
      </c>
      <c r="M2659">
        <v>4</v>
      </c>
      <c r="N2659">
        <v>0</v>
      </c>
      <c r="O2659">
        <v>0</v>
      </c>
      <c r="P2659">
        <v>19.6</v>
      </c>
      <c r="Q2659">
        <v>0</v>
      </c>
      <c r="R2659">
        <v>0</v>
      </c>
      <c r="S2659">
        <v>0</v>
      </c>
      <c r="T2659">
        <v>0</v>
      </c>
      <c r="U2659" s="1">
        <v>0</v>
      </c>
      <c r="V2659">
        <v>19.6</v>
      </c>
    </row>
    <row r="2660" spans="1:22" ht="15">
      <c r="A2660" s="4">
        <v>2653</v>
      </c>
      <c r="B2660">
        <v>318</v>
      </c>
      <c r="C2660" t="s">
        <v>5701</v>
      </c>
      <c r="D2660" t="s">
        <v>76</v>
      </c>
      <c r="E2660" t="s">
        <v>575</v>
      </c>
      <c r="F2660" t="s">
        <v>5702</v>
      </c>
      <c r="G2660" t="str">
        <f>"00175907"</f>
        <v>00175907</v>
      </c>
      <c r="H2660">
        <v>9.6</v>
      </c>
      <c r="I2660">
        <v>0</v>
      </c>
      <c r="M2660">
        <v>0</v>
      </c>
      <c r="N2660">
        <v>0</v>
      </c>
      <c r="O2660">
        <v>0</v>
      </c>
      <c r="P2660">
        <v>9.6</v>
      </c>
      <c r="Q2660">
        <v>10</v>
      </c>
      <c r="R2660">
        <v>10</v>
      </c>
      <c r="S2660">
        <v>0</v>
      </c>
      <c r="T2660">
        <v>0</v>
      </c>
      <c r="U2660" s="1">
        <v>0</v>
      </c>
      <c r="V2660">
        <v>19.6</v>
      </c>
    </row>
    <row r="2661" spans="1:22" ht="15">
      <c r="A2661" s="4">
        <v>2654</v>
      </c>
      <c r="B2661">
        <v>519</v>
      </c>
      <c r="C2661" t="s">
        <v>5703</v>
      </c>
      <c r="D2661" t="s">
        <v>23</v>
      </c>
      <c r="E2661" t="s">
        <v>11</v>
      </c>
      <c r="F2661" t="s">
        <v>5704</v>
      </c>
      <c r="G2661" t="str">
        <f>"00151992"</f>
        <v>00151992</v>
      </c>
      <c r="H2661">
        <v>14.4</v>
      </c>
      <c r="I2661">
        <v>0</v>
      </c>
      <c r="M2661">
        <v>0</v>
      </c>
      <c r="N2661">
        <v>0</v>
      </c>
      <c r="O2661">
        <v>0</v>
      </c>
      <c r="P2661">
        <v>14.4</v>
      </c>
      <c r="Q2661">
        <v>5</v>
      </c>
      <c r="R2661">
        <v>5</v>
      </c>
      <c r="S2661">
        <v>0</v>
      </c>
      <c r="T2661">
        <v>0</v>
      </c>
      <c r="U2661" s="1">
        <v>0</v>
      </c>
      <c r="V2661">
        <v>19.4</v>
      </c>
    </row>
    <row r="2662" spans="1:22" ht="15">
      <c r="A2662" s="4">
        <v>2655</v>
      </c>
      <c r="B2662">
        <v>2415</v>
      </c>
      <c r="C2662" t="s">
        <v>5705</v>
      </c>
      <c r="D2662" t="s">
        <v>82</v>
      </c>
      <c r="E2662" t="s">
        <v>90</v>
      </c>
      <c r="F2662" t="s">
        <v>5706</v>
      </c>
      <c r="G2662" t="str">
        <f>"00502652"</f>
        <v>00502652</v>
      </c>
      <c r="H2662">
        <v>14.4</v>
      </c>
      <c r="I2662">
        <v>0</v>
      </c>
      <c r="M2662">
        <v>4</v>
      </c>
      <c r="N2662">
        <v>0</v>
      </c>
      <c r="O2662">
        <v>0</v>
      </c>
      <c r="P2662">
        <v>18.4</v>
      </c>
      <c r="Q2662">
        <v>1</v>
      </c>
      <c r="R2662">
        <v>1</v>
      </c>
      <c r="S2662">
        <v>0</v>
      </c>
      <c r="T2662">
        <v>0</v>
      </c>
      <c r="U2662" s="1">
        <v>0</v>
      </c>
      <c r="V2662">
        <v>19.4</v>
      </c>
    </row>
    <row r="2663" spans="1:22" ht="15">
      <c r="A2663" s="4">
        <v>2656</v>
      </c>
      <c r="B2663">
        <v>2745</v>
      </c>
      <c r="C2663" t="s">
        <v>5707</v>
      </c>
      <c r="D2663" t="s">
        <v>259</v>
      </c>
      <c r="E2663" t="s">
        <v>73</v>
      </c>
      <c r="F2663" t="s">
        <v>5708</v>
      </c>
      <c r="G2663" t="str">
        <f>"00532444"</f>
        <v>00532444</v>
      </c>
      <c r="H2663">
        <v>19.2</v>
      </c>
      <c r="I2663">
        <v>0</v>
      </c>
      <c r="M2663">
        <v>0</v>
      </c>
      <c r="N2663">
        <v>0</v>
      </c>
      <c r="O2663">
        <v>0</v>
      </c>
      <c r="P2663">
        <v>19.2</v>
      </c>
      <c r="Q2663">
        <v>0</v>
      </c>
      <c r="R2663">
        <v>0</v>
      </c>
      <c r="S2663">
        <v>0</v>
      </c>
      <c r="T2663">
        <v>0</v>
      </c>
      <c r="U2663" s="1">
        <v>0</v>
      </c>
      <c r="V2663">
        <v>19.2</v>
      </c>
    </row>
    <row r="2664" spans="1:22" ht="15">
      <c r="A2664" s="4">
        <v>2657</v>
      </c>
      <c r="B2664">
        <v>2586</v>
      </c>
      <c r="C2664" t="s">
        <v>5709</v>
      </c>
      <c r="D2664" t="s">
        <v>2026</v>
      </c>
      <c r="E2664" t="s">
        <v>528</v>
      </c>
      <c r="F2664" t="s">
        <v>5710</v>
      </c>
      <c r="G2664" t="str">
        <f>"00494095"</f>
        <v>00494095</v>
      </c>
      <c r="H2664">
        <v>7.2</v>
      </c>
      <c r="I2664">
        <v>0</v>
      </c>
      <c r="M2664">
        <v>4</v>
      </c>
      <c r="N2664">
        <v>0</v>
      </c>
      <c r="O2664">
        <v>0</v>
      </c>
      <c r="P2664">
        <v>11.2</v>
      </c>
      <c r="Q2664">
        <v>8</v>
      </c>
      <c r="R2664">
        <v>8</v>
      </c>
      <c r="S2664">
        <v>0</v>
      </c>
      <c r="T2664">
        <v>0</v>
      </c>
      <c r="U2664" s="1">
        <v>0</v>
      </c>
      <c r="V2664">
        <v>19.2</v>
      </c>
    </row>
    <row r="2665" spans="1:22" ht="15">
      <c r="A2665" s="4">
        <v>2658</v>
      </c>
      <c r="B2665">
        <v>538</v>
      </c>
      <c r="C2665" t="s">
        <v>5711</v>
      </c>
      <c r="D2665" t="s">
        <v>127</v>
      </c>
      <c r="E2665" t="s">
        <v>30</v>
      </c>
      <c r="F2665" t="s">
        <v>5712</v>
      </c>
      <c r="G2665" t="str">
        <f>"00529892"</f>
        <v>00529892</v>
      </c>
      <c r="H2665">
        <v>13.16</v>
      </c>
      <c r="I2665">
        <v>0</v>
      </c>
      <c r="M2665">
        <v>0</v>
      </c>
      <c r="N2665">
        <v>0</v>
      </c>
      <c r="O2665">
        <v>0</v>
      </c>
      <c r="P2665">
        <v>13.16</v>
      </c>
      <c r="Q2665">
        <v>0</v>
      </c>
      <c r="R2665">
        <v>0</v>
      </c>
      <c r="S2665">
        <v>6</v>
      </c>
      <c r="T2665">
        <v>0</v>
      </c>
      <c r="U2665" s="1">
        <v>0</v>
      </c>
      <c r="V2665">
        <v>19.16</v>
      </c>
    </row>
    <row r="2666" spans="1:22" ht="15">
      <c r="A2666" s="4">
        <v>2659</v>
      </c>
      <c r="B2666">
        <v>2014</v>
      </c>
      <c r="C2666" t="s">
        <v>5713</v>
      </c>
      <c r="D2666" t="s">
        <v>5714</v>
      </c>
      <c r="E2666" t="s">
        <v>327</v>
      </c>
      <c r="F2666" t="s">
        <v>5715</v>
      </c>
      <c r="G2666" t="str">
        <f>"00524241"</f>
        <v>00524241</v>
      </c>
      <c r="H2666">
        <v>0</v>
      </c>
      <c r="I2666">
        <v>0</v>
      </c>
      <c r="M2666">
        <v>4</v>
      </c>
      <c r="N2666">
        <v>0</v>
      </c>
      <c r="O2666">
        <v>2</v>
      </c>
      <c r="P2666">
        <v>6</v>
      </c>
      <c r="Q2666">
        <v>13</v>
      </c>
      <c r="R2666">
        <v>13</v>
      </c>
      <c r="S2666">
        <v>0</v>
      </c>
      <c r="T2666">
        <v>0</v>
      </c>
      <c r="U2666" s="1">
        <v>0</v>
      </c>
      <c r="V2666">
        <v>19</v>
      </c>
    </row>
    <row r="2667" spans="1:22" ht="15">
      <c r="A2667" s="4">
        <v>2660</v>
      </c>
      <c r="B2667">
        <v>2446</v>
      </c>
      <c r="C2667" t="s">
        <v>5716</v>
      </c>
      <c r="D2667" t="s">
        <v>1296</v>
      </c>
      <c r="E2667" t="s">
        <v>15</v>
      </c>
      <c r="F2667" t="s">
        <v>5717</v>
      </c>
      <c r="G2667" t="str">
        <f>"00442032"</f>
        <v>00442032</v>
      </c>
      <c r="H2667">
        <v>0</v>
      </c>
      <c r="I2667">
        <v>0</v>
      </c>
      <c r="M2667">
        <v>4</v>
      </c>
      <c r="N2667">
        <v>0</v>
      </c>
      <c r="O2667">
        <v>0</v>
      </c>
      <c r="P2667">
        <v>4</v>
      </c>
      <c r="Q2667">
        <v>15</v>
      </c>
      <c r="R2667">
        <v>15</v>
      </c>
      <c r="S2667">
        <v>0</v>
      </c>
      <c r="T2667">
        <v>0</v>
      </c>
      <c r="U2667" s="1">
        <v>0</v>
      </c>
      <c r="V2667">
        <v>19</v>
      </c>
    </row>
    <row r="2668" spans="1:22" ht="15">
      <c r="A2668" s="4">
        <v>2661</v>
      </c>
      <c r="B2668">
        <v>253</v>
      </c>
      <c r="C2668" t="s">
        <v>5718</v>
      </c>
      <c r="D2668" t="s">
        <v>173</v>
      </c>
      <c r="E2668" t="s">
        <v>11</v>
      </c>
      <c r="F2668" t="s">
        <v>5719</v>
      </c>
      <c r="G2668" t="str">
        <f>"00346601"</f>
        <v>00346601</v>
      </c>
      <c r="H2668">
        <v>0</v>
      </c>
      <c r="I2668">
        <v>0</v>
      </c>
      <c r="L2668">
        <v>4</v>
      </c>
      <c r="M2668">
        <v>0</v>
      </c>
      <c r="N2668">
        <v>4</v>
      </c>
      <c r="O2668">
        <v>0</v>
      </c>
      <c r="P2668">
        <v>4</v>
      </c>
      <c r="Q2668">
        <v>15</v>
      </c>
      <c r="R2668">
        <v>15</v>
      </c>
      <c r="S2668">
        <v>0</v>
      </c>
      <c r="T2668">
        <v>0</v>
      </c>
      <c r="U2668" s="1">
        <v>0</v>
      </c>
      <c r="V2668">
        <v>19</v>
      </c>
    </row>
    <row r="2669" spans="1:22" ht="15">
      <c r="A2669" s="4">
        <v>2662</v>
      </c>
      <c r="B2669">
        <v>818</v>
      </c>
      <c r="C2669" t="s">
        <v>5720</v>
      </c>
      <c r="D2669" t="s">
        <v>211</v>
      </c>
      <c r="E2669" t="s">
        <v>403</v>
      </c>
      <c r="F2669" t="s">
        <v>5721</v>
      </c>
      <c r="G2669" t="str">
        <f>"201412007255"</f>
        <v>201412007255</v>
      </c>
      <c r="H2669">
        <v>18.92</v>
      </c>
      <c r="I2669">
        <v>0</v>
      </c>
      <c r="M2669">
        <v>0</v>
      </c>
      <c r="N2669">
        <v>0</v>
      </c>
      <c r="O2669">
        <v>0</v>
      </c>
      <c r="P2669">
        <v>18.92</v>
      </c>
      <c r="Q2669">
        <v>0</v>
      </c>
      <c r="R2669">
        <v>0</v>
      </c>
      <c r="S2669">
        <v>0</v>
      </c>
      <c r="T2669">
        <v>0</v>
      </c>
      <c r="U2669" s="1">
        <v>0</v>
      </c>
      <c r="V2669">
        <v>18.92</v>
      </c>
    </row>
    <row r="2670" spans="1:22" ht="15">
      <c r="A2670" s="4">
        <v>2663</v>
      </c>
      <c r="B2670">
        <v>3041</v>
      </c>
      <c r="C2670" t="s">
        <v>5722</v>
      </c>
      <c r="D2670" t="s">
        <v>5723</v>
      </c>
      <c r="E2670" t="s">
        <v>344</v>
      </c>
      <c r="F2670" t="s">
        <v>5724</v>
      </c>
      <c r="G2670" t="str">
        <f>"00504411"</f>
        <v>00504411</v>
      </c>
      <c r="H2670">
        <v>9.88</v>
      </c>
      <c r="I2670">
        <v>0</v>
      </c>
      <c r="M2670">
        <v>0</v>
      </c>
      <c r="N2670">
        <v>0</v>
      </c>
      <c r="O2670">
        <v>0</v>
      </c>
      <c r="P2670">
        <v>9.88</v>
      </c>
      <c r="Q2670">
        <v>6</v>
      </c>
      <c r="R2670">
        <v>6</v>
      </c>
      <c r="S2670">
        <v>3</v>
      </c>
      <c r="T2670">
        <v>0</v>
      </c>
      <c r="U2670" s="1">
        <v>0</v>
      </c>
      <c r="V2670">
        <v>18.88</v>
      </c>
    </row>
    <row r="2671" spans="1:22" ht="15">
      <c r="A2671" s="4">
        <v>2664</v>
      </c>
      <c r="B2671">
        <v>3229</v>
      </c>
      <c r="C2671" t="s">
        <v>5725</v>
      </c>
      <c r="D2671" t="s">
        <v>156</v>
      </c>
      <c r="E2671" t="s">
        <v>41</v>
      </c>
      <c r="F2671" t="s">
        <v>5726</v>
      </c>
      <c r="G2671" t="str">
        <f>"00405610"</f>
        <v>00405610</v>
      </c>
      <c r="H2671">
        <v>9.44</v>
      </c>
      <c r="I2671">
        <v>0</v>
      </c>
      <c r="M2671">
        <v>0</v>
      </c>
      <c r="N2671">
        <v>0</v>
      </c>
      <c r="O2671">
        <v>0</v>
      </c>
      <c r="P2671">
        <v>9.44</v>
      </c>
      <c r="Q2671">
        <v>0</v>
      </c>
      <c r="R2671">
        <v>0</v>
      </c>
      <c r="S2671">
        <v>9</v>
      </c>
      <c r="T2671">
        <v>0</v>
      </c>
      <c r="U2671" s="1">
        <v>0</v>
      </c>
      <c r="V2671">
        <v>18.44</v>
      </c>
    </row>
    <row r="2672" spans="1:22" ht="15">
      <c r="A2672" s="4">
        <v>2665</v>
      </c>
      <c r="B2672">
        <v>35</v>
      </c>
      <c r="C2672" t="s">
        <v>5727</v>
      </c>
      <c r="D2672" t="s">
        <v>14</v>
      </c>
      <c r="E2672" t="s">
        <v>403</v>
      </c>
      <c r="F2672" t="s">
        <v>5728</v>
      </c>
      <c r="G2672" t="str">
        <f>"00512479"</f>
        <v>00512479</v>
      </c>
      <c r="H2672">
        <v>14.4</v>
      </c>
      <c r="I2672">
        <v>0</v>
      </c>
      <c r="M2672">
        <v>4</v>
      </c>
      <c r="N2672">
        <v>0</v>
      </c>
      <c r="O2672">
        <v>0</v>
      </c>
      <c r="P2672">
        <v>18.4</v>
      </c>
      <c r="Q2672">
        <v>0</v>
      </c>
      <c r="R2672">
        <v>0</v>
      </c>
      <c r="S2672">
        <v>0</v>
      </c>
      <c r="T2672">
        <v>0</v>
      </c>
      <c r="U2672" s="1">
        <v>0</v>
      </c>
      <c r="V2672">
        <v>18.4</v>
      </c>
    </row>
    <row r="2673" spans="1:22" ht="15">
      <c r="A2673" s="4">
        <v>2666</v>
      </c>
      <c r="B2673">
        <v>2516</v>
      </c>
      <c r="C2673" t="s">
        <v>5729</v>
      </c>
      <c r="D2673" t="s">
        <v>1697</v>
      </c>
      <c r="E2673" t="s">
        <v>1007</v>
      </c>
      <c r="F2673" t="s">
        <v>5730</v>
      </c>
      <c r="G2673" t="str">
        <f>"00531998"</f>
        <v>00531998</v>
      </c>
      <c r="H2673">
        <v>14.4</v>
      </c>
      <c r="I2673">
        <v>0</v>
      </c>
      <c r="M2673">
        <v>4</v>
      </c>
      <c r="N2673">
        <v>0</v>
      </c>
      <c r="O2673">
        <v>0</v>
      </c>
      <c r="P2673">
        <v>18.4</v>
      </c>
      <c r="Q2673">
        <v>0</v>
      </c>
      <c r="R2673">
        <v>0</v>
      </c>
      <c r="S2673">
        <v>0</v>
      </c>
      <c r="T2673">
        <v>0</v>
      </c>
      <c r="U2673" s="1">
        <v>0</v>
      </c>
      <c r="V2673">
        <v>18.4</v>
      </c>
    </row>
    <row r="2674" spans="1:22" ht="15">
      <c r="A2674" s="4">
        <v>2667</v>
      </c>
      <c r="B2674">
        <v>1212</v>
      </c>
      <c r="C2674" t="s">
        <v>5731</v>
      </c>
      <c r="D2674" t="s">
        <v>14</v>
      </c>
      <c r="E2674" t="s">
        <v>575</v>
      </c>
      <c r="F2674" t="s">
        <v>5732</v>
      </c>
      <c r="G2674" t="str">
        <f>"00531720"</f>
        <v>00531720</v>
      </c>
      <c r="H2674">
        <v>14.4</v>
      </c>
      <c r="I2674">
        <v>0</v>
      </c>
      <c r="L2674">
        <v>4</v>
      </c>
      <c r="M2674">
        <v>0</v>
      </c>
      <c r="N2674">
        <v>4</v>
      </c>
      <c r="O2674">
        <v>0</v>
      </c>
      <c r="P2674">
        <v>18.4</v>
      </c>
      <c r="Q2674">
        <v>0</v>
      </c>
      <c r="R2674">
        <v>0</v>
      </c>
      <c r="S2674">
        <v>0</v>
      </c>
      <c r="T2674">
        <v>0</v>
      </c>
      <c r="U2674" s="1">
        <v>0</v>
      </c>
      <c r="V2674">
        <v>18.4</v>
      </c>
    </row>
    <row r="2675" spans="1:22" ht="15">
      <c r="A2675" s="4">
        <v>2668</v>
      </c>
      <c r="B2675">
        <v>2408</v>
      </c>
      <c r="C2675" t="s">
        <v>5733</v>
      </c>
      <c r="D2675" t="s">
        <v>211</v>
      </c>
      <c r="E2675" t="s">
        <v>447</v>
      </c>
      <c r="F2675" t="s">
        <v>5734</v>
      </c>
      <c r="G2675" t="str">
        <f>"00533216"</f>
        <v>00533216</v>
      </c>
      <c r="H2675">
        <v>14.4</v>
      </c>
      <c r="I2675">
        <v>0</v>
      </c>
      <c r="M2675">
        <v>4</v>
      </c>
      <c r="N2675">
        <v>0</v>
      </c>
      <c r="O2675">
        <v>0</v>
      </c>
      <c r="P2675">
        <v>18.4</v>
      </c>
      <c r="Q2675">
        <v>0</v>
      </c>
      <c r="R2675">
        <v>0</v>
      </c>
      <c r="S2675">
        <v>0</v>
      </c>
      <c r="T2675">
        <v>0</v>
      </c>
      <c r="U2675" s="1" t="s">
        <v>6251</v>
      </c>
      <c r="V2675">
        <v>18.4</v>
      </c>
    </row>
    <row r="2676" spans="1:22" ht="15">
      <c r="A2676" s="4">
        <v>2669</v>
      </c>
      <c r="B2676">
        <v>1413</v>
      </c>
      <c r="C2676" t="s">
        <v>5735</v>
      </c>
      <c r="D2676" t="s">
        <v>193</v>
      </c>
      <c r="E2676" t="s">
        <v>295</v>
      </c>
      <c r="F2676" t="s">
        <v>5736</v>
      </c>
      <c r="G2676" t="str">
        <f>"00498032"</f>
        <v>00498032</v>
      </c>
      <c r="H2676">
        <v>14.4</v>
      </c>
      <c r="I2676">
        <v>0</v>
      </c>
      <c r="M2676">
        <v>4</v>
      </c>
      <c r="N2676">
        <v>0</v>
      </c>
      <c r="O2676">
        <v>0</v>
      </c>
      <c r="P2676">
        <v>18.4</v>
      </c>
      <c r="Q2676">
        <v>0</v>
      </c>
      <c r="R2676">
        <v>0</v>
      </c>
      <c r="S2676">
        <v>0</v>
      </c>
      <c r="T2676">
        <v>0</v>
      </c>
      <c r="U2676" s="1">
        <v>0</v>
      </c>
      <c r="V2676">
        <v>18.4</v>
      </c>
    </row>
    <row r="2677" spans="1:22" ht="15">
      <c r="A2677" s="4">
        <v>2670</v>
      </c>
      <c r="B2677">
        <v>480</v>
      </c>
      <c r="C2677" t="s">
        <v>377</v>
      </c>
      <c r="D2677" t="s">
        <v>5737</v>
      </c>
      <c r="E2677" t="s">
        <v>73</v>
      </c>
      <c r="F2677" t="s">
        <v>5738</v>
      </c>
      <c r="G2677" t="str">
        <f>"00289017"</f>
        <v>00289017</v>
      </c>
      <c r="H2677">
        <v>14.4</v>
      </c>
      <c r="I2677">
        <v>0</v>
      </c>
      <c r="M2677">
        <v>4</v>
      </c>
      <c r="N2677">
        <v>0</v>
      </c>
      <c r="O2677">
        <v>0</v>
      </c>
      <c r="P2677">
        <v>18.4</v>
      </c>
      <c r="Q2677">
        <v>0</v>
      </c>
      <c r="R2677">
        <v>0</v>
      </c>
      <c r="S2677">
        <v>0</v>
      </c>
      <c r="T2677">
        <v>0</v>
      </c>
      <c r="U2677" s="1">
        <v>0</v>
      </c>
      <c r="V2677">
        <v>18.4</v>
      </c>
    </row>
    <row r="2678" spans="1:22" ht="15">
      <c r="A2678" s="4">
        <v>2671</v>
      </c>
      <c r="B2678">
        <v>961</v>
      </c>
      <c r="C2678" t="s">
        <v>1478</v>
      </c>
      <c r="D2678" t="s">
        <v>127</v>
      </c>
      <c r="E2678" t="s">
        <v>19</v>
      </c>
      <c r="F2678" t="s">
        <v>5739</v>
      </c>
      <c r="G2678" t="str">
        <f>"00407929"</f>
        <v>00407929</v>
      </c>
      <c r="H2678">
        <v>14.4</v>
      </c>
      <c r="I2678">
        <v>0</v>
      </c>
      <c r="M2678">
        <v>4</v>
      </c>
      <c r="N2678">
        <v>0</v>
      </c>
      <c r="O2678">
        <v>0</v>
      </c>
      <c r="P2678">
        <v>18.4</v>
      </c>
      <c r="Q2678">
        <v>0</v>
      </c>
      <c r="R2678">
        <v>0</v>
      </c>
      <c r="S2678">
        <v>0</v>
      </c>
      <c r="T2678">
        <v>0</v>
      </c>
      <c r="U2678" s="1">
        <v>0</v>
      </c>
      <c r="V2678">
        <v>18.4</v>
      </c>
    </row>
    <row r="2679" spans="1:22" ht="15">
      <c r="A2679" s="4">
        <v>2672</v>
      </c>
      <c r="B2679">
        <v>2021</v>
      </c>
      <c r="C2679" t="s">
        <v>5740</v>
      </c>
      <c r="D2679" t="s">
        <v>89</v>
      </c>
      <c r="E2679" t="s">
        <v>11</v>
      </c>
      <c r="F2679" t="s">
        <v>5741</v>
      </c>
      <c r="G2679" t="str">
        <f>"00291632"</f>
        <v>00291632</v>
      </c>
      <c r="H2679">
        <v>14.4</v>
      </c>
      <c r="I2679">
        <v>0</v>
      </c>
      <c r="M2679">
        <v>0</v>
      </c>
      <c r="N2679">
        <v>0</v>
      </c>
      <c r="O2679">
        <v>0</v>
      </c>
      <c r="P2679">
        <v>14.4</v>
      </c>
      <c r="Q2679">
        <v>4</v>
      </c>
      <c r="R2679">
        <v>4</v>
      </c>
      <c r="S2679">
        <v>0</v>
      </c>
      <c r="T2679">
        <v>0</v>
      </c>
      <c r="U2679" s="1">
        <v>0</v>
      </c>
      <c r="V2679">
        <v>18.4</v>
      </c>
    </row>
    <row r="2680" spans="1:22" ht="15">
      <c r="A2680" s="4">
        <v>2673</v>
      </c>
      <c r="B2680">
        <v>2558</v>
      </c>
      <c r="C2680" t="s">
        <v>5742</v>
      </c>
      <c r="D2680" t="s">
        <v>5743</v>
      </c>
      <c r="E2680" t="s">
        <v>30</v>
      </c>
      <c r="F2680" t="s">
        <v>5744</v>
      </c>
      <c r="G2680" t="str">
        <f>"00534188"</f>
        <v>00534188</v>
      </c>
      <c r="H2680">
        <v>14.4</v>
      </c>
      <c r="I2680">
        <v>0</v>
      </c>
      <c r="M2680">
        <v>4</v>
      </c>
      <c r="N2680">
        <v>0</v>
      </c>
      <c r="O2680">
        <v>0</v>
      </c>
      <c r="P2680">
        <v>18.4</v>
      </c>
      <c r="Q2680">
        <v>0</v>
      </c>
      <c r="R2680">
        <v>0</v>
      </c>
      <c r="S2680">
        <v>0</v>
      </c>
      <c r="T2680">
        <v>0</v>
      </c>
      <c r="U2680" s="1">
        <v>0</v>
      </c>
      <c r="V2680">
        <v>18.4</v>
      </c>
    </row>
    <row r="2681" spans="1:22" ht="15">
      <c r="A2681" s="4">
        <v>2674</v>
      </c>
      <c r="B2681">
        <v>2804</v>
      </c>
      <c r="C2681" t="s">
        <v>3848</v>
      </c>
      <c r="D2681" t="s">
        <v>40</v>
      </c>
      <c r="E2681" t="s">
        <v>201</v>
      </c>
      <c r="F2681" t="s">
        <v>5745</v>
      </c>
      <c r="G2681" t="str">
        <f>"00530750"</f>
        <v>00530750</v>
      </c>
      <c r="H2681">
        <v>14.4</v>
      </c>
      <c r="I2681">
        <v>0</v>
      </c>
      <c r="L2681">
        <v>4</v>
      </c>
      <c r="M2681">
        <v>0</v>
      </c>
      <c r="N2681">
        <v>4</v>
      </c>
      <c r="O2681">
        <v>0</v>
      </c>
      <c r="P2681">
        <v>18.4</v>
      </c>
      <c r="Q2681">
        <v>0</v>
      </c>
      <c r="R2681">
        <v>0</v>
      </c>
      <c r="S2681">
        <v>0</v>
      </c>
      <c r="T2681">
        <v>0</v>
      </c>
      <c r="U2681" s="1">
        <v>0</v>
      </c>
      <c r="V2681">
        <v>18.4</v>
      </c>
    </row>
    <row r="2682" spans="1:22" ht="15">
      <c r="A2682" s="4">
        <v>2675</v>
      </c>
      <c r="B2682">
        <v>503</v>
      </c>
      <c r="C2682" t="s">
        <v>623</v>
      </c>
      <c r="D2682" t="s">
        <v>892</v>
      </c>
      <c r="E2682" t="s">
        <v>83</v>
      </c>
      <c r="F2682" t="s">
        <v>5746</v>
      </c>
      <c r="G2682" t="str">
        <f>"00152321"</f>
        <v>00152321</v>
      </c>
      <c r="H2682">
        <v>14.4</v>
      </c>
      <c r="I2682">
        <v>0</v>
      </c>
      <c r="M2682">
        <v>4</v>
      </c>
      <c r="N2682">
        <v>0</v>
      </c>
      <c r="O2682">
        <v>0</v>
      </c>
      <c r="P2682">
        <v>18.4</v>
      </c>
      <c r="Q2682">
        <v>0</v>
      </c>
      <c r="R2682">
        <v>0</v>
      </c>
      <c r="S2682">
        <v>0</v>
      </c>
      <c r="T2682">
        <v>0</v>
      </c>
      <c r="U2682" s="1">
        <v>0</v>
      </c>
      <c r="V2682">
        <v>18.4</v>
      </c>
    </row>
    <row r="2683" spans="1:22" ht="15">
      <c r="A2683" s="4">
        <v>2676</v>
      </c>
      <c r="B2683">
        <v>1927</v>
      </c>
      <c r="C2683" t="s">
        <v>5747</v>
      </c>
      <c r="D2683" t="s">
        <v>5748</v>
      </c>
      <c r="E2683" t="s">
        <v>51</v>
      </c>
      <c r="F2683" t="s">
        <v>5749</v>
      </c>
      <c r="G2683" t="str">
        <f>"00532633"</f>
        <v>00532633</v>
      </c>
      <c r="H2683">
        <v>14.4</v>
      </c>
      <c r="I2683">
        <v>0</v>
      </c>
      <c r="M2683">
        <v>4</v>
      </c>
      <c r="N2683">
        <v>0</v>
      </c>
      <c r="O2683">
        <v>0</v>
      </c>
      <c r="P2683">
        <v>18.4</v>
      </c>
      <c r="Q2683">
        <v>0</v>
      </c>
      <c r="R2683">
        <v>0</v>
      </c>
      <c r="S2683">
        <v>0</v>
      </c>
      <c r="T2683">
        <v>0</v>
      </c>
      <c r="U2683" s="1">
        <v>0</v>
      </c>
      <c r="V2683">
        <v>18.4</v>
      </c>
    </row>
    <row r="2684" spans="1:22" ht="15">
      <c r="A2684" s="4">
        <v>2677</v>
      </c>
      <c r="B2684">
        <v>1378</v>
      </c>
      <c r="C2684" t="s">
        <v>5750</v>
      </c>
      <c r="D2684" t="s">
        <v>5751</v>
      </c>
      <c r="E2684" t="s">
        <v>30</v>
      </c>
      <c r="F2684" t="s">
        <v>5752</v>
      </c>
      <c r="G2684" t="str">
        <f>"00529932"</f>
        <v>00529932</v>
      </c>
      <c r="H2684">
        <v>14.4</v>
      </c>
      <c r="I2684">
        <v>0</v>
      </c>
      <c r="L2684">
        <v>4</v>
      </c>
      <c r="M2684">
        <v>0</v>
      </c>
      <c r="N2684">
        <v>4</v>
      </c>
      <c r="O2684">
        <v>0</v>
      </c>
      <c r="P2684">
        <v>18.4</v>
      </c>
      <c r="Q2684">
        <v>0</v>
      </c>
      <c r="R2684">
        <v>0</v>
      </c>
      <c r="S2684">
        <v>0</v>
      </c>
      <c r="T2684">
        <v>0</v>
      </c>
      <c r="U2684" s="1">
        <v>0</v>
      </c>
      <c r="V2684">
        <v>18.4</v>
      </c>
    </row>
    <row r="2685" spans="1:22" ht="15">
      <c r="A2685" s="4">
        <v>2678</v>
      </c>
      <c r="B2685">
        <v>65</v>
      </c>
      <c r="C2685" t="s">
        <v>5753</v>
      </c>
      <c r="D2685" t="s">
        <v>1202</v>
      </c>
      <c r="E2685" t="s">
        <v>157</v>
      </c>
      <c r="F2685" t="s">
        <v>5754</v>
      </c>
      <c r="G2685" t="str">
        <f>"00336436"</f>
        <v>00336436</v>
      </c>
      <c r="H2685">
        <v>14.4</v>
      </c>
      <c r="I2685">
        <v>0</v>
      </c>
      <c r="M2685">
        <v>4</v>
      </c>
      <c r="N2685">
        <v>0</v>
      </c>
      <c r="O2685">
        <v>0</v>
      </c>
      <c r="P2685">
        <v>18.4</v>
      </c>
      <c r="Q2685">
        <v>0</v>
      </c>
      <c r="R2685">
        <v>0</v>
      </c>
      <c r="S2685">
        <v>0</v>
      </c>
      <c r="T2685">
        <v>0</v>
      </c>
      <c r="U2685" s="1">
        <v>0</v>
      </c>
      <c r="V2685">
        <v>18.4</v>
      </c>
    </row>
    <row r="2686" spans="1:22" ht="15">
      <c r="A2686" s="4">
        <v>2679</v>
      </c>
      <c r="B2686">
        <v>2686</v>
      </c>
      <c r="C2686" t="s">
        <v>5755</v>
      </c>
      <c r="D2686" t="s">
        <v>76</v>
      </c>
      <c r="E2686" t="s">
        <v>51</v>
      </c>
      <c r="F2686" t="s">
        <v>5756</v>
      </c>
      <c r="G2686" t="str">
        <f>"00532662"</f>
        <v>00532662</v>
      </c>
      <c r="H2686">
        <v>14.4</v>
      </c>
      <c r="I2686">
        <v>0</v>
      </c>
      <c r="M2686">
        <v>4</v>
      </c>
      <c r="N2686">
        <v>0</v>
      </c>
      <c r="O2686">
        <v>0</v>
      </c>
      <c r="P2686">
        <v>18.4</v>
      </c>
      <c r="Q2686">
        <v>0</v>
      </c>
      <c r="R2686">
        <v>0</v>
      </c>
      <c r="S2686">
        <v>0</v>
      </c>
      <c r="T2686">
        <v>0</v>
      </c>
      <c r="U2686" s="1">
        <v>0</v>
      </c>
      <c r="V2686">
        <v>18.4</v>
      </c>
    </row>
    <row r="2687" spans="1:22" ht="15">
      <c r="A2687" s="4">
        <v>2680</v>
      </c>
      <c r="B2687">
        <v>3162</v>
      </c>
      <c r="C2687" t="s">
        <v>5757</v>
      </c>
      <c r="D2687" t="s">
        <v>170</v>
      </c>
      <c r="E2687" t="s">
        <v>877</v>
      </c>
      <c r="F2687" t="s">
        <v>5758</v>
      </c>
      <c r="G2687" t="str">
        <f>"00254575"</f>
        <v>00254575</v>
      </c>
      <c r="H2687">
        <v>14.4</v>
      </c>
      <c r="I2687">
        <v>0</v>
      </c>
      <c r="M2687">
        <v>4</v>
      </c>
      <c r="N2687">
        <v>0</v>
      </c>
      <c r="O2687">
        <v>0</v>
      </c>
      <c r="P2687">
        <v>18.4</v>
      </c>
      <c r="Q2687">
        <v>0</v>
      </c>
      <c r="R2687">
        <v>0</v>
      </c>
      <c r="S2687">
        <v>0</v>
      </c>
      <c r="T2687">
        <v>0</v>
      </c>
      <c r="U2687" s="1">
        <v>0</v>
      </c>
      <c r="V2687">
        <v>18.4</v>
      </c>
    </row>
    <row r="2688" spans="1:22" ht="15">
      <c r="A2688" s="4">
        <v>2681</v>
      </c>
      <c r="B2688">
        <v>2094</v>
      </c>
      <c r="C2688" t="s">
        <v>5759</v>
      </c>
      <c r="D2688" t="s">
        <v>273</v>
      </c>
      <c r="E2688" t="s">
        <v>5760</v>
      </c>
      <c r="F2688" t="s">
        <v>5761</v>
      </c>
      <c r="G2688" t="str">
        <f>"00529863"</f>
        <v>00529863</v>
      </c>
      <c r="H2688">
        <v>14.4</v>
      </c>
      <c r="I2688">
        <v>0</v>
      </c>
      <c r="M2688">
        <v>4</v>
      </c>
      <c r="N2688">
        <v>0</v>
      </c>
      <c r="O2688">
        <v>0</v>
      </c>
      <c r="P2688">
        <v>18.4</v>
      </c>
      <c r="Q2688">
        <v>0</v>
      </c>
      <c r="R2688">
        <v>0</v>
      </c>
      <c r="S2688">
        <v>0</v>
      </c>
      <c r="T2688">
        <v>0</v>
      </c>
      <c r="U2688" s="1">
        <v>0</v>
      </c>
      <c r="V2688">
        <v>18.4</v>
      </c>
    </row>
    <row r="2689" spans="1:22" ht="15">
      <c r="A2689" s="4">
        <v>2682</v>
      </c>
      <c r="B2689">
        <v>1981</v>
      </c>
      <c r="C2689" t="s">
        <v>4046</v>
      </c>
      <c r="D2689" t="s">
        <v>643</v>
      </c>
      <c r="E2689" t="s">
        <v>23</v>
      </c>
      <c r="F2689" t="s">
        <v>5762</v>
      </c>
      <c r="G2689" t="str">
        <f>"00531503"</f>
        <v>00531503</v>
      </c>
      <c r="H2689">
        <v>14.4</v>
      </c>
      <c r="I2689">
        <v>0</v>
      </c>
      <c r="M2689">
        <v>4</v>
      </c>
      <c r="N2689">
        <v>0</v>
      </c>
      <c r="O2689">
        <v>0</v>
      </c>
      <c r="P2689">
        <v>18.4</v>
      </c>
      <c r="Q2689">
        <v>0</v>
      </c>
      <c r="R2689">
        <v>0</v>
      </c>
      <c r="S2689">
        <v>0</v>
      </c>
      <c r="T2689">
        <v>0</v>
      </c>
      <c r="U2689" s="1">
        <v>0</v>
      </c>
      <c r="V2689">
        <v>18.4</v>
      </c>
    </row>
    <row r="2690" spans="1:22" ht="15">
      <c r="A2690" s="4">
        <v>2683</v>
      </c>
      <c r="B2690">
        <v>3260</v>
      </c>
      <c r="C2690" t="s">
        <v>605</v>
      </c>
      <c r="D2690" t="s">
        <v>137</v>
      </c>
      <c r="E2690" t="s">
        <v>19</v>
      </c>
      <c r="F2690" t="s">
        <v>5763</v>
      </c>
      <c r="G2690" t="str">
        <f>"00518753"</f>
        <v>00518753</v>
      </c>
      <c r="H2690">
        <v>14.4</v>
      </c>
      <c r="I2690">
        <v>0</v>
      </c>
      <c r="M2690">
        <v>4</v>
      </c>
      <c r="N2690">
        <v>0</v>
      </c>
      <c r="O2690">
        <v>0</v>
      </c>
      <c r="P2690">
        <v>18.4</v>
      </c>
      <c r="Q2690">
        <v>0</v>
      </c>
      <c r="R2690">
        <v>0</v>
      </c>
      <c r="S2690">
        <v>0</v>
      </c>
      <c r="T2690">
        <v>0</v>
      </c>
      <c r="U2690" s="1">
        <v>0</v>
      </c>
      <c r="V2690">
        <v>18.4</v>
      </c>
    </row>
    <row r="2691" spans="1:22" ht="15">
      <c r="A2691" s="4">
        <v>2684</v>
      </c>
      <c r="B2691">
        <v>2333</v>
      </c>
      <c r="C2691" t="s">
        <v>3492</v>
      </c>
      <c r="D2691" t="s">
        <v>121</v>
      </c>
      <c r="E2691" t="s">
        <v>73</v>
      </c>
      <c r="F2691" t="s">
        <v>5764</v>
      </c>
      <c r="G2691" t="str">
        <f>"00470710"</f>
        <v>00470710</v>
      </c>
      <c r="H2691">
        <v>14.4</v>
      </c>
      <c r="I2691">
        <v>0</v>
      </c>
      <c r="M2691">
        <v>4</v>
      </c>
      <c r="N2691">
        <v>0</v>
      </c>
      <c r="O2691">
        <v>0</v>
      </c>
      <c r="P2691">
        <v>18.4</v>
      </c>
      <c r="Q2691">
        <v>0</v>
      </c>
      <c r="R2691">
        <v>0</v>
      </c>
      <c r="S2691">
        <v>0</v>
      </c>
      <c r="T2691">
        <v>0</v>
      </c>
      <c r="U2691" s="1">
        <v>0</v>
      </c>
      <c r="V2691">
        <v>18.4</v>
      </c>
    </row>
    <row r="2692" spans="1:22" ht="15">
      <c r="A2692" s="4">
        <v>2685</v>
      </c>
      <c r="B2692">
        <v>1111</v>
      </c>
      <c r="C2692" t="s">
        <v>5765</v>
      </c>
      <c r="D2692" t="s">
        <v>11</v>
      </c>
      <c r="E2692" t="s">
        <v>73</v>
      </c>
      <c r="F2692" t="s">
        <v>5766</v>
      </c>
      <c r="G2692" t="str">
        <f>"00503151"</f>
        <v>00503151</v>
      </c>
      <c r="H2692">
        <v>14.4</v>
      </c>
      <c r="I2692">
        <v>0</v>
      </c>
      <c r="L2692">
        <v>4</v>
      </c>
      <c r="M2692">
        <v>0</v>
      </c>
      <c r="N2692">
        <v>4</v>
      </c>
      <c r="O2692">
        <v>0</v>
      </c>
      <c r="P2692">
        <v>18.4</v>
      </c>
      <c r="Q2692">
        <v>0</v>
      </c>
      <c r="R2692">
        <v>0</v>
      </c>
      <c r="S2692">
        <v>0</v>
      </c>
      <c r="T2692">
        <v>0</v>
      </c>
      <c r="U2692" s="1">
        <v>0</v>
      </c>
      <c r="V2692">
        <v>18.4</v>
      </c>
    </row>
    <row r="2693" spans="1:22" ht="15">
      <c r="A2693" s="4">
        <v>2686</v>
      </c>
      <c r="B2693">
        <v>2838</v>
      </c>
      <c r="C2693" t="s">
        <v>5767</v>
      </c>
      <c r="D2693" t="s">
        <v>40</v>
      </c>
      <c r="E2693" t="s">
        <v>73</v>
      </c>
      <c r="F2693" t="s">
        <v>5768</v>
      </c>
      <c r="G2693" t="str">
        <f>"00529722"</f>
        <v>00529722</v>
      </c>
      <c r="H2693">
        <v>14.4</v>
      </c>
      <c r="I2693">
        <v>0</v>
      </c>
      <c r="M2693">
        <v>4</v>
      </c>
      <c r="N2693">
        <v>0</v>
      </c>
      <c r="O2693">
        <v>0</v>
      </c>
      <c r="P2693">
        <v>18.4</v>
      </c>
      <c r="Q2693">
        <v>0</v>
      </c>
      <c r="R2693">
        <v>0</v>
      </c>
      <c r="S2693">
        <v>0</v>
      </c>
      <c r="T2693">
        <v>0</v>
      </c>
      <c r="U2693" s="1">
        <v>0</v>
      </c>
      <c r="V2693">
        <v>18.4</v>
      </c>
    </row>
    <row r="2694" spans="1:22" ht="15">
      <c r="A2694" s="4">
        <v>2687</v>
      </c>
      <c r="B2694">
        <v>2411</v>
      </c>
      <c r="C2694" t="s">
        <v>5769</v>
      </c>
      <c r="D2694" t="s">
        <v>1492</v>
      </c>
      <c r="E2694" t="s">
        <v>364</v>
      </c>
      <c r="F2694" t="s">
        <v>5770</v>
      </c>
      <c r="G2694" t="str">
        <f>"00528778"</f>
        <v>00528778</v>
      </c>
      <c r="H2694">
        <v>14.4</v>
      </c>
      <c r="I2694">
        <v>0</v>
      </c>
      <c r="M2694">
        <v>4</v>
      </c>
      <c r="N2694">
        <v>0</v>
      </c>
      <c r="O2694">
        <v>0</v>
      </c>
      <c r="P2694">
        <v>18.4</v>
      </c>
      <c r="Q2694">
        <v>0</v>
      </c>
      <c r="R2694">
        <v>0</v>
      </c>
      <c r="S2694">
        <v>0</v>
      </c>
      <c r="T2694">
        <v>0</v>
      </c>
      <c r="U2694" s="1">
        <v>0</v>
      </c>
      <c r="V2694">
        <v>18.4</v>
      </c>
    </row>
    <row r="2695" spans="1:22" ht="15">
      <c r="A2695" s="4">
        <v>2688</v>
      </c>
      <c r="B2695">
        <v>3032</v>
      </c>
      <c r="C2695" t="s">
        <v>5771</v>
      </c>
      <c r="D2695" t="s">
        <v>490</v>
      </c>
      <c r="E2695" t="s">
        <v>190</v>
      </c>
      <c r="F2695" t="s">
        <v>5772</v>
      </c>
      <c r="G2695" t="str">
        <f>"00530288"</f>
        <v>00530288</v>
      </c>
      <c r="H2695">
        <v>12.28</v>
      </c>
      <c r="I2695">
        <v>0</v>
      </c>
      <c r="M2695">
        <v>0</v>
      </c>
      <c r="N2695">
        <v>0</v>
      </c>
      <c r="O2695">
        <v>0</v>
      </c>
      <c r="P2695">
        <v>12.28</v>
      </c>
      <c r="Q2695">
        <v>0</v>
      </c>
      <c r="R2695">
        <v>0</v>
      </c>
      <c r="S2695">
        <v>6</v>
      </c>
      <c r="T2695">
        <v>0</v>
      </c>
      <c r="U2695" s="1">
        <v>0</v>
      </c>
      <c r="V2695">
        <v>18.28</v>
      </c>
    </row>
    <row r="2696" spans="1:22" ht="15">
      <c r="A2696" s="4">
        <v>2689</v>
      </c>
      <c r="B2696">
        <v>317</v>
      </c>
      <c r="C2696" t="s">
        <v>5773</v>
      </c>
      <c r="D2696" t="s">
        <v>26</v>
      </c>
      <c r="E2696" t="s">
        <v>11</v>
      </c>
      <c r="F2696" t="s">
        <v>5774</v>
      </c>
      <c r="G2696" t="str">
        <f>"00532519"</f>
        <v>00532519</v>
      </c>
      <c r="H2696">
        <v>12.28</v>
      </c>
      <c r="I2696">
        <v>0</v>
      </c>
      <c r="M2696">
        <v>0</v>
      </c>
      <c r="N2696">
        <v>0</v>
      </c>
      <c r="O2696">
        <v>0</v>
      </c>
      <c r="P2696">
        <v>12.28</v>
      </c>
      <c r="Q2696">
        <v>0</v>
      </c>
      <c r="R2696">
        <v>0</v>
      </c>
      <c r="S2696">
        <v>6</v>
      </c>
      <c r="T2696">
        <v>0</v>
      </c>
      <c r="U2696" s="1">
        <v>0</v>
      </c>
      <c r="V2696">
        <v>18.28</v>
      </c>
    </row>
    <row r="2697" spans="1:22" ht="15">
      <c r="A2697" s="4">
        <v>2690</v>
      </c>
      <c r="B2697">
        <v>2636</v>
      </c>
      <c r="C2697" t="s">
        <v>5775</v>
      </c>
      <c r="D2697" t="s">
        <v>5776</v>
      </c>
      <c r="E2697" t="s">
        <v>90</v>
      </c>
      <c r="F2697" t="s">
        <v>5777</v>
      </c>
      <c r="G2697" t="str">
        <f>"00327511"</f>
        <v>00327511</v>
      </c>
      <c r="H2697">
        <v>7.2</v>
      </c>
      <c r="I2697">
        <v>0</v>
      </c>
      <c r="M2697">
        <v>0</v>
      </c>
      <c r="N2697">
        <v>0</v>
      </c>
      <c r="O2697">
        <v>0</v>
      </c>
      <c r="P2697">
        <v>7.2</v>
      </c>
      <c r="Q2697">
        <v>11</v>
      </c>
      <c r="R2697">
        <v>11</v>
      </c>
      <c r="S2697">
        <v>0</v>
      </c>
      <c r="T2697">
        <v>0</v>
      </c>
      <c r="U2697" s="1" t="s">
        <v>6251</v>
      </c>
      <c r="V2697">
        <v>18.2</v>
      </c>
    </row>
    <row r="2698" spans="1:22" ht="15">
      <c r="A2698" s="4">
        <v>2691</v>
      </c>
      <c r="B2698">
        <v>2730</v>
      </c>
      <c r="C2698" t="s">
        <v>5778</v>
      </c>
      <c r="D2698" t="s">
        <v>156</v>
      </c>
      <c r="E2698" t="s">
        <v>30</v>
      </c>
      <c r="F2698" t="s">
        <v>5779</v>
      </c>
      <c r="G2698" t="str">
        <f>"00469919"</f>
        <v>00469919</v>
      </c>
      <c r="H2698">
        <v>14.12</v>
      </c>
      <c r="I2698">
        <v>0</v>
      </c>
      <c r="M2698">
        <v>4</v>
      </c>
      <c r="N2698">
        <v>0</v>
      </c>
      <c r="O2698">
        <v>0</v>
      </c>
      <c r="P2698">
        <v>18.12</v>
      </c>
      <c r="Q2698">
        <v>0</v>
      </c>
      <c r="R2698">
        <v>0</v>
      </c>
      <c r="S2698">
        <v>0</v>
      </c>
      <c r="T2698">
        <v>0</v>
      </c>
      <c r="U2698" s="1">
        <v>0</v>
      </c>
      <c r="V2698">
        <v>18.12</v>
      </c>
    </row>
    <row r="2699" spans="1:22" ht="15">
      <c r="A2699" s="4">
        <v>2692</v>
      </c>
      <c r="B2699">
        <v>2890</v>
      </c>
      <c r="C2699" t="s">
        <v>5780</v>
      </c>
      <c r="D2699" t="s">
        <v>89</v>
      </c>
      <c r="E2699" t="s">
        <v>675</v>
      </c>
      <c r="F2699" t="s">
        <v>5781</v>
      </c>
      <c r="G2699" t="str">
        <f>"00533878"</f>
        <v>00533878</v>
      </c>
      <c r="H2699">
        <v>0</v>
      </c>
      <c r="I2699">
        <v>0</v>
      </c>
      <c r="J2699">
        <v>8</v>
      </c>
      <c r="M2699">
        <v>4</v>
      </c>
      <c r="N2699">
        <v>8</v>
      </c>
      <c r="O2699">
        <v>0</v>
      </c>
      <c r="P2699">
        <v>12</v>
      </c>
      <c r="Q2699">
        <v>0</v>
      </c>
      <c r="R2699">
        <v>0</v>
      </c>
      <c r="S2699">
        <v>6</v>
      </c>
      <c r="T2699">
        <v>0</v>
      </c>
      <c r="U2699" s="1">
        <v>0</v>
      </c>
      <c r="V2699">
        <v>18</v>
      </c>
    </row>
    <row r="2700" spans="1:22" ht="15">
      <c r="A2700" s="4">
        <v>2693</v>
      </c>
      <c r="B2700">
        <v>1867</v>
      </c>
      <c r="C2700" t="s">
        <v>5782</v>
      </c>
      <c r="D2700" t="s">
        <v>14</v>
      </c>
      <c r="E2700" t="s">
        <v>55</v>
      </c>
      <c r="F2700" t="s">
        <v>5783</v>
      </c>
      <c r="G2700" t="str">
        <f>"00103095"</f>
        <v>00103095</v>
      </c>
      <c r="H2700">
        <v>0</v>
      </c>
      <c r="I2700">
        <v>10</v>
      </c>
      <c r="L2700">
        <v>4</v>
      </c>
      <c r="M2700">
        <v>4</v>
      </c>
      <c r="N2700">
        <v>4</v>
      </c>
      <c r="O2700">
        <v>0</v>
      </c>
      <c r="P2700">
        <v>18</v>
      </c>
      <c r="Q2700">
        <v>0</v>
      </c>
      <c r="R2700">
        <v>0</v>
      </c>
      <c r="S2700">
        <v>0</v>
      </c>
      <c r="T2700">
        <v>0</v>
      </c>
      <c r="U2700" s="1">
        <v>0</v>
      </c>
      <c r="V2700">
        <v>18</v>
      </c>
    </row>
    <row r="2701" spans="1:22" ht="15">
      <c r="A2701" s="4">
        <v>2694</v>
      </c>
      <c r="B2701">
        <v>1431</v>
      </c>
      <c r="C2701" t="s">
        <v>5784</v>
      </c>
      <c r="D2701" t="s">
        <v>89</v>
      </c>
      <c r="E2701" t="s">
        <v>99</v>
      </c>
      <c r="F2701" t="s">
        <v>5785</v>
      </c>
      <c r="G2701" t="str">
        <f>"00524274"</f>
        <v>00524274</v>
      </c>
      <c r="H2701">
        <v>18</v>
      </c>
      <c r="I2701">
        <v>0</v>
      </c>
      <c r="M2701">
        <v>0</v>
      </c>
      <c r="N2701">
        <v>0</v>
      </c>
      <c r="O2701">
        <v>0</v>
      </c>
      <c r="P2701">
        <v>18</v>
      </c>
      <c r="Q2701">
        <v>0</v>
      </c>
      <c r="R2701">
        <v>0</v>
      </c>
      <c r="S2701">
        <v>0</v>
      </c>
      <c r="T2701">
        <v>0</v>
      </c>
      <c r="U2701" s="1">
        <v>0</v>
      </c>
      <c r="V2701">
        <v>18</v>
      </c>
    </row>
    <row r="2702" spans="1:22" ht="15">
      <c r="A2702" s="4">
        <v>2695</v>
      </c>
      <c r="B2702">
        <v>187</v>
      </c>
      <c r="C2702" t="s">
        <v>5786</v>
      </c>
      <c r="D2702" t="s">
        <v>373</v>
      </c>
      <c r="E2702" t="s">
        <v>575</v>
      </c>
      <c r="F2702" t="s">
        <v>5787</v>
      </c>
      <c r="G2702" t="str">
        <f>"00531538"</f>
        <v>00531538</v>
      </c>
      <c r="H2702">
        <v>13.8</v>
      </c>
      <c r="I2702">
        <v>0</v>
      </c>
      <c r="M2702">
        <v>4</v>
      </c>
      <c r="N2702">
        <v>0</v>
      </c>
      <c r="O2702">
        <v>0</v>
      </c>
      <c r="P2702">
        <v>17.8</v>
      </c>
      <c r="Q2702">
        <v>0</v>
      </c>
      <c r="R2702">
        <v>0</v>
      </c>
      <c r="S2702">
        <v>0</v>
      </c>
      <c r="T2702">
        <v>0</v>
      </c>
      <c r="U2702" s="1">
        <v>0</v>
      </c>
      <c r="V2702">
        <v>17.8</v>
      </c>
    </row>
    <row r="2703" spans="1:22" ht="15">
      <c r="A2703" s="4">
        <v>2696</v>
      </c>
      <c r="B2703">
        <v>2725</v>
      </c>
      <c r="C2703" t="s">
        <v>5788</v>
      </c>
      <c r="D2703" t="s">
        <v>121</v>
      </c>
      <c r="E2703" t="s">
        <v>73</v>
      </c>
      <c r="F2703" t="s">
        <v>5789</v>
      </c>
      <c r="G2703" t="str">
        <f>"00529812"</f>
        <v>00529812</v>
      </c>
      <c r="H2703">
        <v>14.4</v>
      </c>
      <c r="I2703">
        <v>0</v>
      </c>
      <c r="M2703">
        <v>0</v>
      </c>
      <c r="N2703">
        <v>0</v>
      </c>
      <c r="O2703">
        <v>0</v>
      </c>
      <c r="P2703">
        <v>14.4</v>
      </c>
      <c r="Q2703">
        <v>0</v>
      </c>
      <c r="R2703">
        <v>0</v>
      </c>
      <c r="S2703">
        <v>3</v>
      </c>
      <c r="T2703">
        <v>0</v>
      </c>
      <c r="U2703" s="1">
        <v>0</v>
      </c>
      <c r="V2703">
        <v>17.4</v>
      </c>
    </row>
    <row r="2704" spans="1:22" ht="15">
      <c r="A2704" s="4">
        <v>2697</v>
      </c>
      <c r="B2704">
        <v>692</v>
      </c>
      <c r="C2704" t="s">
        <v>5790</v>
      </c>
      <c r="D2704" t="s">
        <v>26</v>
      </c>
      <c r="E2704" t="s">
        <v>19</v>
      </c>
      <c r="F2704" t="s">
        <v>5791</v>
      </c>
      <c r="G2704" t="str">
        <f>"00531553"</f>
        <v>00531553</v>
      </c>
      <c r="H2704">
        <v>14.4</v>
      </c>
      <c r="I2704">
        <v>0</v>
      </c>
      <c r="M2704">
        <v>0</v>
      </c>
      <c r="N2704">
        <v>0</v>
      </c>
      <c r="O2704">
        <v>0</v>
      </c>
      <c r="P2704">
        <v>14.4</v>
      </c>
      <c r="Q2704">
        <v>0</v>
      </c>
      <c r="R2704">
        <v>0</v>
      </c>
      <c r="S2704">
        <v>3</v>
      </c>
      <c r="T2704">
        <v>0</v>
      </c>
      <c r="U2704" s="1">
        <v>0</v>
      </c>
      <c r="V2704">
        <v>17.4</v>
      </c>
    </row>
    <row r="2705" spans="1:22" ht="15">
      <c r="A2705" s="4">
        <v>2698</v>
      </c>
      <c r="B2705">
        <v>1880</v>
      </c>
      <c r="C2705" t="s">
        <v>4370</v>
      </c>
      <c r="D2705" t="s">
        <v>156</v>
      </c>
      <c r="E2705" t="s">
        <v>30</v>
      </c>
      <c r="F2705" t="s">
        <v>5792</v>
      </c>
      <c r="G2705" t="str">
        <f>"00428660"</f>
        <v>00428660</v>
      </c>
      <c r="H2705">
        <v>14.4</v>
      </c>
      <c r="I2705">
        <v>0</v>
      </c>
      <c r="M2705">
        <v>0</v>
      </c>
      <c r="N2705">
        <v>0</v>
      </c>
      <c r="O2705">
        <v>0</v>
      </c>
      <c r="P2705">
        <v>14.4</v>
      </c>
      <c r="Q2705">
        <v>0</v>
      </c>
      <c r="R2705">
        <v>0</v>
      </c>
      <c r="S2705">
        <v>3</v>
      </c>
      <c r="T2705">
        <v>0</v>
      </c>
      <c r="U2705" s="1">
        <v>0</v>
      </c>
      <c r="V2705">
        <v>17.4</v>
      </c>
    </row>
    <row r="2706" spans="1:22" ht="15">
      <c r="A2706" s="4">
        <v>2699</v>
      </c>
      <c r="B2706">
        <v>113</v>
      </c>
      <c r="C2706" t="s">
        <v>5793</v>
      </c>
      <c r="D2706" t="s">
        <v>1021</v>
      </c>
      <c r="E2706" t="s">
        <v>30</v>
      </c>
      <c r="F2706" t="s">
        <v>5794</v>
      </c>
      <c r="G2706" t="str">
        <f>"00273060"</f>
        <v>00273060</v>
      </c>
      <c r="H2706">
        <v>14.4</v>
      </c>
      <c r="I2706">
        <v>0</v>
      </c>
      <c r="M2706">
        <v>0</v>
      </c>
      <c r="N2706">
        <v>0</v>
      </c>
      <c r="O2706">
        <v>0</v>
      </c>
      <c r="P2706">
        <v>14.4</v>
      </c>
      <c r="Q2706">
        <v>0</v>
      </c>
      <c r="R2706">
        <v>0</v>
      </c>
      <c r="S2706">
        <v>3</v>
      </c>
      <c r="T2706">
        <v>0</v>
      </c>
      <c r="U2706" s="1">
        <v>0</v>
      </c>
      <c r="V2706">
        <v>17.4</v>
      </c>
    </row>
    <row r="2707" spans="1:22" ht="15">
      <c r="A2707" s="4">
        <v>2700</v>
      </c>
      <c r="B2707">
        <v>2856</v>
      </c>
      <c r="C2707" t="s">
        <v>5795</v>
      </c>
      <c r="D2707" t="s">
        <v>193</v>
      </c>
      <c r="E2707" t="s">
        <v>90</v>
      </c>
      <c r="F2707" t="s">
        <v>5796</v>
      </c>
      <c r="G2707" t="str">
        <f>"00268358"</f>
        <v>00268358</v>
      </c>
      <c r="H2707">
        <v>14.4</v>
      </c>
      <c r="I2707">
        <v>0</v>
      </c>
      <c r="M2707">
        <v>0</v>
      </c>
      <c r="N2707">
        <v>0</v>
      </c>
      <c r="O2707">
        <v>0</v>
      </c>
      <c r="P2707">
        <v>14.4</v>
      </c>
      <c r="Q2707">
        <v>0</v>
      </c>
      <c r="R2707">
        <v>0</v>
      </c>
      <c r="S2707">
        <v>3</v>
      </c>
      <c r="T2707">
        <v>0</v>
      </c>
      <c r="U2707" s="1">
        <v>0</v>
      </c>
      <c r="V2707">
        <v>17.4</v>
      </c>
    </row>
    <row r="2708" spans="1:22" ht="15">
      <c r="A2708" s="4">
        <v>2701</v>
      </c>
      <c r="B2708">
        <v>2010</v>
      </c>
      <c r="C2708" t="s">
        <v>5797</v>
      </c>
      <c r="D2708" t="s">
        <v>5798</v>
      </c>
      <c r="E2708" t="s">
        <v>19</v>
      </c>
      <c r="F2708" t="s">
        <v>5799</v>
      </c>
      <c r="G2708" t="str">
        <f>"00162432"</f>
        <v>00162432</v>
      </c>
      <c r="H2708">
        <v>17.32</v>
      </c>
      <c r="I2708">
        <v>0</v>
      </c>
      <c r="M2708">
        <v>0</v>
      </c>
      <c r="N2708">
        <v>0</v>
      </c>
      <c r="O2708">
        <v>0</v>
      </c>
      <c r="P2708">
        <v>17.32</v>
      </c>
      <c r="Q2708">
        <v>0</v>
      </c>
      <c r="R2708">
        <v>0</v>
      </c>
      <c r="S2708">
        <v>0</v>
      </c>
      <c r="T2708">
        <v>0</v>
      </c>
      <c r="U2708" s="1">
        <v>0</v>
      </c>
      <c r="V2708">
        <v>17.32</v>
      </c>
    </row>
    <row r="2709" spans="1:22" ht="15">
      <c r="A2709" s="4">
        <v>2702</v>
      </c>
      <c r="B2709">
        <v>2150</v>
      </c>
      <c r="C2709" t="s">
        <v>5800</v>
      </c>
      <c r="D2709" t="s">
        <v>4542</v>
      </c>
      <c r="E2709" t="s">
        <v>30</v>
      </c>
      <c r="F2709" t="s">
        <v>5801</v>
      </c>
      <c r="G2709" t="str">
        <f>"00529968"</f>
        <v>00529968</v>
      </c>
      <c r="H2709">
        <v>17.24</v>
      </c>
      <c r="I2709">
        <v>0</v>
      </c>
      <c r="M2709">
        <v>0</v>
      </c>
      <c r="N2709">
        <v>0</v>
      </c>
      <c r="O2709">
        <v>0</v>
      </c>
      <c r="P2709">
        <v>17.24</v>
      </c>
      <c r="Q2709">
        <v>0</v>
      </c>
      <c r="R2709">
        <v>0</v>
      </c>
      <c r="S2709">
        <v>0</v>
      </c>
      <c r="T2709">
        <v>0</v>
      </c>
      <c r="U2709" s="1">
        <v>0</v>
      </c>
      <c r="V2709">
        <v>17.24</v>
      </c>
    </row>
    <row r="2710" spans="1:22" ht="15">
      <c r="A2710" s="4">
        <v>2703</v>
      </c>
      <c r="B2710">
        <v>271</v>
      </c>
      <c r="C2710" t="s">
        <v>5802</v>
      </c>
      <c r="D2710" t="s">
        <v>40</v>
      </c>
      <c r="E2710" t="s">
        <v>11</v>
      </c>
      <c r="F2710" t="s">
        <v>5803</v>
      </c>
      <c r="G2710" t="str">
        <f>"00502984"</f>
        <v>00502984</v>
      </c>
      <c r="H2710">
        <v>7.2</v>
      </c>
      <c r="I2710">
        <v>0</v>
      </c>
      <c r="M2710">
        <v>4</v>
      </c>
      <c r="N2710">
        <v>0</v>
      </c>
      <c r="O2710">
        <v>0</v>
      </c>
      <c r="P2710">
        <v>11.2</v>
      </c>
      <c r="Q2710">
        <v>0</v>
      </c>
      <c r="R2710">
        <v>0</v>
      </c>
      <c r="S2710">
        <v>6</v>
      </c>
      <c r="T2710">
        <v>0</v>
      </c>
      <c r="U2710" s="1">
        <v>0</v>
      </c>
      <c r="V2710">
        <v>17.2</v>
      </c>
    </row>
    <row r="2711" spans="1:22" ht="15">
      <c r="A2711" s="4">
        <v>2704</v>
      </c>
      <c r="B2711">
        <v>2858</v>
      </c>
      <c r="C2711" t="s">
        <v>5804</v>
      </c>
      <c r="D2711" t="s">
        <v>1378</v>
      </c>
      <c r="E2711" t="s">
        <v>73</v>
      </c>
      <c r="F2711" t="s">
        <v>5805</v>
      </c>
      <c r="G2711" t="str">
        <f>"00175983"</f>
        <v>00175983</v>
      </c>
      <c r="H2711">
        <v>7.2</v>
      </c>
      <c r="I2711">
        <v>0</v>
      </c>
      <c r="M2711">
        <v>0</v>
      </c>
      <c r="N2711">
        <v>0</v>
      </c>
      <c r="O2711">
        <v>0</v>
      </c>
      <c r="P2711">
        <v>7.2</v>
      </c>
      <c r="Q2711">
        <v>7</v>
      </c>
      <c r="R2711">
        <v>7</v>
      </c>
      <c r="S2711">
        <v>3</v>
      </c>
      <c r="T2711">
        <v>0</v>
      </c>
      <c r="U2711" s="1">
        <v>0</v>
      </c>
      <c r="V2711">
        <v>17.2</v>
      </c>
    </row>
    <row r="2712" spans="1:22" ht="15">
      <c r="A2712" s="4">
        <v>2705</v>
      </c>
      <c r="B2712">
        <v>2517</v>
      </c>
      <c r="C2712" t="s">
        <v>5806</v>
      </c>
      <c r="D2712" t="s">
        <v>89</v>
      </c>
      <c r="E2712" t="s">
        <v>47</v>
      </c>
      <c r="F2712" t="s">
        <v>5807</v>
      </c>
      <c r="G2712" t="str">
        <f>"00532717"</f>
        <v>00532717</v>
      </c>
      <c r="H2712">
        <v>7.2</v>
      </c>
      <c r="I2712">
        <v>0</v>
      </c>
      <c r="M2712">
        <v>4</v>
      </c>
      <c r="N2712">
        <v>0</v>
      </c>
      <c r="O2712">
        <v>0</v>
      </c>
      <c r="P2712">
        <v>11.2</v>
      </c>
      <c r="Q2712">
        <v>0</v>
      </c>
      <c r="R2712">
        <v>0</v>
      </c>
      <c r="S2712">
        <v>6</v>
      </c>
      <c r="T2712">
        <v>0</v>
      </c>
      <c r="U2712" s="1">
        <v>0</v>
      </c>
      <c r="V2712">
        <v>17.2</v>
      </c>
    </row>
    <row r="2713" spans="1:22" ht="15">
      <c r="A2713" s="4">
        <v>2706</v>
      </c>
      <c r="B2713">
        <v>1491</v>
      </c>
      <c r="C2713" t="s">
        <v>246</v>
      </c>
      <c r="D2713" t="s">
        <v>127</v>
      </c>
      <c r="E2713" t="s">
        <v>15</v>
      </c>
      <c r="F2713" t="s">
        <v>5808</v>
      </c>
      <c r="G2713" t="str">
        <f>"00063623"</f>
        <v>00063623</v>
      </c>
      <c r="H2713">
        <v>7.2</v>
      </c>
      <c r="I2713">
        <v>0</v>
      </c>
      <c r="L2713">
        <v>4</v>
      </c>
      <c r="M2713">
        <v>4</v>
      </c>
      <c r="N2713">
        <v>4</v>
      </c>
      <c r="O2713">
        <v>2</v>
      </c>
      <c r="P2713">
        <v>17.2</v>
      </c>
      <c r="Q2713">
        <v>0</v>
      </c>
      <c r="R2713">
        <v>0</v>
      </c>
      <c r="S2713">
        <v>0</v>
      </c>
      <c r="T2713">
        <v>0</v>
      </c>
      <c r="U2713" s="1">
        <v>0</v>
      </c>
      <c r="V2713">
        <v>17.2</v>
      </c>
    </row>
    <row r="2714" spans="1:22" ht="15">
      <c r="A2714" s="4">
        <v>2707</v>
      </c>
      <c r="B2714">
        <v>2116</v>
      </c>
      <c r="C2714" t="s">
        <v>5809</v>
      </c>
      <c r="D2714" t="s">
        <v>14</v>
      </c>
      <c r="E2714" t="s">
        <v>1343</v>
      </c>
      <c r="F2714" t="s">
        <v>5810</v>
      </c>
      <c r="G2714" t="str">
        <f>"00329363"</f>
        <v>00329363</v>
      </c>
      <c r="H2714">
        <v>7.2</v>
      </c>
      <c r="I2714">
        <v>0</v>
      </c>
      <c r="L2714">
        <v>4</v>
      </c>
      <c r="M2714">
        <v>4</v>
      </c>
      <c r="N2714">
        <v>4</v>
      </c>
      <c r="O2714">
        <v>2</v>
      </c>
      <c r="P2714">
        <v>17.2</v>
      </c>
      <c r="Q2714">
        <v>0</v>
      </c>
      <c r="R2714">
        <v>0</v>
      </c>
      <c r="S2714">
        <v>0</v>
      </c>
      <c r="T2714">
        <v>0</v>
      </c>
      <c r="U2714" s="1">
        <v>0</v>
      </c>
      <c r="V2714">
        <v>17.2</v>
      </c>
    </row>
    <row r="2715" spans="1:22" ht="15">
      <c r="A2715" s="4">
        <v>2708</v>
      </c>
      <c r="B2715">
        <v>159</v>
      </c>
      <c r="C2715" t="s">
        <v>5811</v>
      </c>
      <c r="D2715" t="s">
        <v>89</v>
      </c>
      <c r="E2715" t="s">
        <v>11</v>
      </c>
      <c r="F2715" t="s">
        <v>5812</v>
      </c>
      <c r="G2715" t="str">
        <f>"00530974"</f>
        <v>00530974</v>
      </c>
      <c r="H2715">
        <v>7.2</v>
      </c>
      <c r="I2715">
        <v>0</v>
      </c>
      <c r="L2715">
        <v>4</v>
      </c>
      <c r="M2715">
        <v>4</v>
      </c>
      <c r="N2715">
        <v>4</v>
      </c>
      <c r="O2715">
        <v>0</v>
      </c>
      <c r="P2715">
        <v>15.2</v>
      </c>
      <c r="Q2715">
        <v>2</v>
      </c>
      <c r="R2715">
        <v>2</v>
      </c>
      <c r="S2715">
        <v>0</v>
      </c>
      <c r="T2715">
        <v>0</v>
      </c>
      <c r="U2715" s="1">
        <v>0</v>
      </c>
      <c r="V2715">
        <v>17.2</v>
      </c>
    </row>
    <row r="2716" spans="1:22" ht="15">
      <c r="A2716" s="4">
        <v>2709</v>
      </c>
      <c r="B2716">
        <v>1179</v>
      </c>
      <c r="C2716" t="s">
        <v>5813</v>
      </c>
      <c r="D2716" t="s">
        <v>211</v>
      </c>
      <c r="E2716" t="s">
        <v>11</v>
      </c>
      <c r="F2716" t="s">
        <v>5814</v>
      </c>
      <c r="G2716" t="str">
        <f>"00528648"</f>
        <v>00528648</v>
      </c>
      <c r="H2716">
        <v>7.2</v>
      </c>
      <c r="I2716">
        <v>0</v>
      </c>
      <c r="M2716">
        <v>4</v>
      </c>
      <c r="N2716">
        <v>0</v>
      </c>
      <c r="O2716">
        <v>0</v>
      </c>
      <c r="P2716">
        <v>11.2</v>
      </c>
      <c r="Q2716">
        <v>6</v>
      </c>
      <c r="R2716">
        <v>6</v>
      </c>
      <c r="S2716">
        <v>0</v>
      </c>
      <c r="T2716">
        <v>0</v>
      </c>
      <c r="U2716" s="1">
        <v>0</v>
      </c>
      <c r="V2716">
        <v>17.2</v>
      </c>
    </row>
    <row r="2717" spans="1:22" ht="15">
      <c r="A2717" s="4">
        <v>2710</v>
      </c>
      <c r="B2717">
        <v>3419</v>
      </c>
      <c r="C2717" t="s">
        <v>286</v>
      </c>
      <c r="D2717" t="s">
        <v>211</v>
      </c>
      <c r="E2717" t="s">
        <v>73</v>
      </c>
      <c r="F2717" t="s">
        <v>5815</v>
      </c>
      <c r="G2717" t="str">
        <f>"00515131"</f>
        <v>00515131</v>
      </c>
      <c r="H2717">
        <v>7.2</v>
      </c>
      <c r="I2717">
        <v>0</v>
      </c>
      <c r="M2717">
        <v>0</v>
      </c>
      <c r="N2717">
        <v>0</v>
      </c>
      <c r="O2717">
        <v>0</v>
      </c>
      <c r="P2717">
        <v>7.2</v>
      </c>
      <c r="Q2717">
        <v>10</v>
      </c>
      <c r="R2717">
        <v>10</v>
      </c>
      <c r="S2717">
        <v>0</v>
      </c>
      <c r="T2717">
        <v>0</v>
      </c>
      <c r="U2717" s="1">
        <v>0</v>
      </c>
      <c r="V2717">
        <v>17.2</v>
      </c>
    </row>
    <row r="2718" spans="1:22" ht="15">
      <c r="A2718" s="4">
        <v>2711</v>
      </c>
      <c r="B2718">
        <v>2726</v>
      </c>
      <c r="C2718" t="s">
        <v>2075</v>
      </c>
      <c r="D2718" t="s">
        <v>124</v>
      </c>
      <c r="E2718" t="s">
        <v>59</v>
      </c>
      <c r="F2718" t="s">
        <v>5816</v>
      </c>
      <c r="G2718" t="str">
        <f>"00023846"</f>
        <v>00023846</v>
      </c>
      <c r="H2718">
        <v>7.2</v>
      </c>
      <c r="I2718">
        <v>0</v>
      </c>
      <c r="M2718">
        <v>0</v>
      </c>
      <c r="N2718">
        <v>0</v>
      </c>
      <c r="O2718">
        <v>0</v>
      </c>
      <c r="P2718">
        <v>7.2</v>
      </c>
      <c r="Q2718">
        <v>4</v>
      </c>
      <c r="R2718">
        <v>4</v>
      </c>
      <c r="S2718">
        <v>6</v>
      </c>
      <c r="T2718">
        <v>0</v>
      </c>
      <c r="U2718" s="1">
        <v>0</v>
      </c>
      <c r="V2718">
        <v>17.2</v>
      </c>
    </row>
    <row r="2719" spans="1:22" ht="15">
      <c r="A2719" s="4">
        <v>2712</v>
      </c>
      <c r="B2719">
        <v>3362</v>
      </c>
      <c r="C2719" t="s">
        <v>5817</v>
      </c>
      <c r="D2719" t="s">
        <v>211</v>
      </c>
      <c r="E2719" t="s">
        <v>112</v>
      </c>
      <c r="F2719" t="s">
        <v>5818</v>
      </c>
      <c r="G2719" t="str">
        <f>"00466544"</f>
        <v>00466544</v>
      </c>
      <c r="H2719">
        <v>7.2</v>
      </c>
      <c r="I2719">
        <v>0</v>
      </c>
      <c r="K2719">
        <v>6</v>
      </c>
      <c r="M2719">
        <v>4</v>
      </c>
      <c r="N2719">
        <v>6</v>
      </c>
      <c r="O2719">
        <v>0</v>
      </c>
      <c r="P2719">
        <v>17.2</v>
      </c>
      <c r="Q2719">
        <v>0</v>
      </c>
      <c r="R2719">
        <v>0</v>
      </c>
      <c r="S2719">
        <v>0</v>
      </c>
      <c r="T2719">
        <v>0</v>
      </c>
      <c r="U2719" s="1">
        <v>0</v>
      </c>
      <c r="V2719">
        <v>17.2</v>
      </c>
    </row>
    <row r="2720" spans="1:22" ht="15">
      <c r="A2720" s="4">
        <v>2713</v>
      </c>
      <c r="B2720">
        <v>3198</v>
      </c>
      <c r="C2720" t="s">
        <v>5359</v>
      </c>
      <c r="D2720" t="s">
        <v>102</v>
      </c>
      <c r="E2720" t="s">
        <v>5819</v>
      </c>
      <c r="F2720" t="s">
        <v>5820</v>
      </c>
      <c r="G2720" t="str">
        <f>"00510942"</f>
        <v>00510942</v>
      </c>
      <c r="H2720">
        <v>0</v>
      </c>
      <c r="I2720">
        <v>0</v>
      </c>
      <c r="M2720">
        <v>4</v>
      </c>
      <c r="N2720">
        <v>0</v>
      </c>
      <c r="O2720">
        <v>0</v>
      </c>
      <c r="P2720">
        <v>4</v>
      </c>
      <c r="Q2720">
        <v>13</v>
      </c>
      <c r="R2720">
        <v>13</v>
      </c>
      <c r="S2720">
        <v>0</v>
      </c>
      <c r="T2720">
        <v>0</v>
      </c>
      <c r="U2720" s="1">
        <v>0</v>
      </c>
      <c r="V2720">
        <v>17</v>
      </c>
    </row>
    <row r="2721" spans="1:22" ht="15">
      <c r="A2721" s="4">
        <v>2714</v>
      </c>
      <c r="B2721">
        <v>2396</v>
      </c>
      <c r="C2721" t="s">
        <v>5821</v>
      </c>
      <c r="D2721" t="s">
        <v>14</v>
      </c>
      <c r="E2721" t="s">
        <v>242</v>
      </c>
      <c r="F2721" t="s">
        <v>5822</v>
      </c>
      <c r="G2721" t="str">
        <f>"00516581"</f>
        <v>00516581</v>
      </c>
      <c r="H2721">
        <v>13.8</v>
      </c>
      <c r="I2721">
        <v>0</v>
      </c>
      <c r="M2721">
        <v>0</v>
      </c>
      <c r="N2721">
        <v>0</v>
      </c>
      <c r="O2721">
        <v>0</v>
      </c>
      <c r="P2721">
        <v>13.8</v>
      </c>
      <c r="Q2721">
        <v>0</v>
      </c>
      <c r="R2721">
        <v>0</v>
      </c>
      <c r="S2721">
        <v>3</v>
      </c>
      <c r="T2721">
        <v>0</v>
      </c>
      <c r="U2721" s="1">
        <v>0</v>
      </c>
      <c r="V2721">
        <v>16.8</v>
      </c>
    </row>
    <row r="2722" spans="1:22" ht="15">
      <c r="A2722" s="4">
        <v>2715</v>
      </c>
      <c r="B2722">
        <v>2797</v>
      </c>
      <c r="C2722" t="s">
        <v>5823</v>
      </c>
      <c r="D2722" t="s">
        <v>755</v>
      </c>
      <c r="E2722" t="s">
        <v>15</v>
      </c>
      <c r="F2722" t="s">
        <v>5824</v>
      </c>
      <c r="G2722" t="str">
        <f>"00532870"</f>
        <v>00532870</v>
      </c>
      <c r="H2722">
        <v>13.72</v>
      </c>
      <c r="I2722">
        <v>0</v>
      </c>
      <c r="M2722">
        <v>0</v>
      </c>
      <c r="N2722">
        <v>0</v>
      </c>
      <c r="O2722">
        <v>0</v>
      </c>
      <c r="P2722">
        <v>13.72</v>
      </c>
      <c r="Q2722">
        <v>0</v>
      </c>
      <c r="R2722">
        <v>0</v>
      </c>
      <c r="S2722">
        <v>3</v>
      </c>
      <c r="T2722">
        <v>0</v>
      </c>
      <c r="U2722" s="1">
        <v>0</v>
      </c>
      <c r="V2722">
        <v>16.72</v>
      </c>
    </row>
    <row r="2723" spans="1:22" ht="15">
      <c r="A2723" s="4">
        <v>2716</v>
      </c>
      <c r="B2723">
        <v>1841</v>
      </c>
      <c r="C2723" t="s">
        <v>5825</v>
      </c>
      <c r="D2723" t="s">
        <v>76</v>
      </c>
      <c r="E2723" t="s">
        <v>41</v>
      </c>
      <c r="F2723" t="s">
        <v>5826</v>
      </c>
      <c r="G2723" t="str">
        <f>"00510371"</f>
        <v>00510371</v>
      </c>
      <c r="H2723">
        <v>14.4</v>
      </c>
      <c r="I2723">
        <v>0</v>
      </c>
      <c r="M2723">
        <v>0</v>
      </c>
      <c r="N2723">
        <v>0</v>
      </c>
      <c r="O2723">
        <v>0</v>
      </c>
      <c r="P2723">
        <v>14.4</v>
      </c>
      <c r="Q2723">
        <v>2</v>
      </c>
      <c r="R2723">
        <v>2</v>
      </c>
      <c r="S2723">
        <v>0</v>
      </c>
      <c r="T2723">
        <v>0</v>
      </c>
      <c r="U2723" s="1">
        <v>0</v>
      </c>
      <c r="V2723">
        <v>16.4</v>
      </c>
    </row>
    <row r="2724" spans="1:22" ht="15">
      <c r="A2724" s="4">
        <v>2717</v>
      </c>
      <c r="B2724">
        <v>2107</v>
      </c>
      <c r="C2724" t="s">
        <v>5827</v>
      </c>
      <c r="D2724" t="s">
        <v>76</v>
      </c>
      <c r="E2724" t="s">
        <v>447</v>
      </c>
      <c r="F2724" t="s">
        <v>5828</v>
      </c>
      <c r="G2724" t="str">
        <f>"200802005502"</f>
        <v>200802005502</v>
      </c>
      <c r="H2724">
        <v>16.28</v>
      </c>
      <c r="I2724">
        <v>0</v>
      </c>
      <c r="M2724">
        <v>0</v>
      </c>
      <c r="N2724">
        <v>0</v>
      </c>
      <c r="O2724">
        <v>0</v>
      </c>
      <c r="P2724">
        <v>16.28</v>
      </c>
      <c r="Q2724">
        <v>0</v>
      </c>
      <c r="R2724">
        <v>0</v>
      </c>
      <c r="S2724">
        <v>0</v>
      </c>
      <c r="T2724">
        <v>0</v>
      </c>
      <c r="U2724" s="1">
        <v>0</v>
      </c>
      <c r="V2724">
        <v>16.28</v>
      </c>
    </row>
    <row r="2725" spans="1:22" ht="15">
      <c r="A2725" s="4">
        <v>2718</v>
      </c>
      <c r="B2725">
        <v>577</v>
      </c>
      <c r="C2725" t="s">
        <v>4904</v>
      </c>
      <c r="D2725" t="s">
        <v>5829</v>
      </c>
      <c r="E2725" t="s">
        <v>90</v>
      </c>
      <c r="F2725" t="s">
        <v>5830</v>
      </c>
      <c r="G2725" t="str">
        <f>"00041075"</f>
        <v>00041075</v>
      </c>
      <c r="H2725">
        <v>6.2</v>
      </c>
      <c r="I2725">
        <v>0</v>
      </c>
      <c r="M2725">
        <v>4</v>
      </c>
      <c r="N2725">
        <v>0</v>
      </c>
      <c r="O2725">
        <v>0</v>
      </c>
      <c r="P2725">
        <v>10.2</v>
      </c>
      <c r="Q2725">
        <v>0</v>
      </c>
      <c r="R2725">
        <v>0</v>
      </c>
      <c r="S2725">
        <v>6</v>
      </c>
      <c r="T2725">
        <v>0</v>
      </c>
      <c r="U2725" s="1">
        <v>0</v>
      </c>
      <c r="V2725">
        <v>16.2</v>
      </c>
    </row>
    <row r="2726" spans="1:22" ht="15">
      <c r="A2726" s="4">
        <v>2719</v>
      </c>
      <c r="B2726">
        <v>2806</v>
      </c>
      <c r="C2726" t="s">
        <v>5831</v>
      </c>
      <c r="D2726" t="s">
        <v>511</v>
      </c>
      <c r="E2726" t="s">
        <v>197</v>
      </c>
      <c r="F2726" t="s">
        <v>5832</v>
      </c>
      <c r="G2726" t="str">
        <f>"00532961"</f>
        <v>00532961</v>
      </c>
      <c r="H2726">
        <v>7.2</v>
      </c>
      <c r="I2726">
        <v>0</v>
      </c>
      <c r="M2726">
        <v>4</v>
      </c>
      <c r="N2726">
        <v>0</v>
      </c>
      <c r="O2726">
        <v>2</v>
      </c>
      <c r="P2726">
        <v>13.2</v>
      </c>
      <c r="Q2726">
        <v>0</v>
      </c>
      <c r="R2726">
        <v>0</v>
      </c>
      <c r="S2726">
        <v>3</v>
      </c>
      <c r="T2726">
        <v>0</v>
      </c>
      <c r="U2726" s="1">
        <v>0</v>
      </c>
      <c r="V2726">
        <v>16.2</v>
      </c>
    </row>
    <row r="2727" spans="1:22" ht="15">
      <c r="A2727" s="4">
        <v>2720</v>
      </c>
      <c r="B2727">
        <v>2705</v>
      </c>
      <c r="C2727" t="s">
        <v>1853</v>
      </c>
      <c r="D2727" t="s">
        <v>50</v>
      </c>
      <c r="E2727" t="s">
        <v>30</v>
      </c>
      <c r="F2727" t="s">
        <v>5833</v>
      </c>
      <c r="G2727" t="str">
        <f>"00157299"</f>
        <v>00157299</v>
      </c>
      <c r="H2727">
        <v>7.2</v>
      </c>
      <c r="I2727">
        <v>0</v>
      </c>
      <c r="M2727">
        <v>0</v>
      </c>
      <c r="N2727">
        <v>0</v>
      </c>
      <c r="O2727">
        <v>0</v>
      </c>
      <c r="P2727">
        <v>7.2</v>
      </c>
      <c r="Q2727">
        <v>6</v>
      </c>
      <c r="R2727">
        <v>6</v>
      </c>
      <c r="S2727">
        <v>3</v>
      </c>
      <c r="T2727">
        <v>0</v>
      </c>
      <c r="U2727" s="1">
        <v>0</v>
      </c>
      <c r="V2727">
        <v>16.2</v>
      </c>
    </row>
    <row r="2728" spans="1:22" ht="15">
      <c r="A2728" s="4">
        <v>2721</v>
      </c>
      <c r="B2728">
        <v>774</v>
      </c>
      <c r="C2728" t="s">
        <v>5834</v>
      </c>
      <c r="D2728" t="s">
        <v>222</v>
      </c>
      <c r="E2728" t="s">
        <v>3563</v>
      </c>
      <c r="F2728" t="s">
        <v>5835</v>
      </c>
      <c r="G2728" t="str">
        <f>"00025657"</f>
        <v>00025657</v>
      </c>
      <c r="H2728">
        <v>9.16</v>
      </c>
      <c r="I2728">
        <v>0</v>
      </c>
      <c r="M2728">
        <v>4</v>
      </c>
      <c r="N2728">
        <v>0</v>
      </c>
      <c r="O2728">
        <v>0</v>
      </c>
      <c r="P2728">
        <v>13.16</v>
      </c>
      <c r="Q2728">
        <v>0</v>
      </c>
      <c r="R2728">
        <v>0</v>
      </c>
      <c r="S2728">
        <v>3</v>
      </c>
      <c r="T2728">
        <v>0</v>
      </c>
      <c r="U2728" s="1">
        <v>0</v>
      </c>
      <c r="V2728">
        <v>16.16</v>
      </c>
    </row>
    <row r="2729" spans="1:22" ht="15">
      <c r="A2729" s="4">
        <v>2722</v>
      </c>
      <c r="B2729">
        <v>3221</v>
      </c>
      <c r="C2729" t="s">
        <v>789</v>
      </c>
      <c r="D2729" t="s">
        <v>1034</v>
      </c>
      <c r="E2729" t="s">
        <v>83</v>
      </c>
      <c r="F2729" t="s">
        <v>5836</v>
      </c>
      <c r="G2729" t="str">
        <f>"00530976"</f>
        <v>00530976</v>
      </c>
      <c r="H2729">
        <v>13.08</v>
      </c>
      <c r="I2729">
        <v>0</v>
      </c>
      <c r="M2729">
        <v>0</v>
      </c>
      <c r="N2729">
        <v>0</v>
      </c>
      <c r="O2729">
        <v>0</v>
      </c>
      <c r="P2729">
        <v>13.08</v>
      </c>
      <c r="Q2729">
        <v>0</v>
      </c>
      <c r="R2729">
        <v>0</v>
      </c>
      <c r="S2729">
        <v>3</v>
      </c>
      <c r="T2729">
        <v>0</v>
      </c>
      <c r="U2729" s="1">
        <v>0</v>
      </c>
      <c r="V2729">
        <v>16.08</v>
      </c>
    </row>
    <row r="2730" spans="1:22" ht="15">
      <c r="A2730" s="4">
        <v>2723</v>
      </c>
      <c r="B2730">
        <v>1888</v>
      </c>
      <c r="C2730" t="s">
        <v>5837</v>
      </c>
      <c r="D2730" t="s">
        <v>160</v>
      </c>
      <c r="E2730" t="s">
        <v>11</v>
      </c>
      <c r="F2730" t="s">
        <v>5838</v>
      </c>
      <c r="G2730" t="str">
        <f>"00528705"</f>
        <v>00528705</v>
      </c>
      <c r="H2730">
        <v>13.08</v>
      </c>
      <c r="I2730">
        <v>0</v>
      </c>
      <c r="M2730">
        <v>0</v>
      </c>
      <c r="N2730">
        <v>0</v>
      </c>
      <c r="O2730">
        <v>0</v>
      </c>
      <c r="P2730">
        <v>13.08</v>
      </c>
      <c r="Q2730">
        <v>0</v>
      </c>
      <c r="R2730">
        <v>0</v>
      </c>
      <c r="S2730">
        <v>3</v>
      </c>
      <c r="T2730">
        <v>0</v>
      </c>
      <c r="U2730" s="1">
        <v>0</v>
      </c>
      <c r="V2730">
        <v>16.08</v>
      </c>
    </row>
    <row r="2731" spans="1:22" ht="15">
      <c r="A2731" s="4">
        <v>2724</v>
      </c>
      <c r="B2731">
        <v>3</v>
      </c>
      <c r="C2731" t="s">
        <v>5839</v>
      </c>
      <c r="D2731" t="s">
        <v>26</v>
      </c>
      <c r="E2731" t="s">
        <v>30</v>
      </c>
      <c r="F2731" t="s">
        <v>5840</v>
      </c>
      <c r="G2731" t="str">
        <f>"00512308"</f>
        <v>00512308</v>
      </c>
      <c r="H2731">
        <v>16</v>
      </c>
      <c r="I2731">
        <v>0</v>
      </c>
      <c r="M2731">
        <v>0</v>
      </c>
      <c r="N2731">
        <v>0</v>
      </c>
      <c r="O2731">
        <v>0</v>
      </c>
      <c r="P2731">
        <v>16</v>
      </c>
      <c r="Q2731">
        <v>0</v>
      </c>
      <c r="R2731">
        <v>0</v>
      </c>
      <c r="S2731">
        <v>0</v>
      </c>
      <c r="T2731">
        <v>0</v>
      </c>
      <c r="U2731" s="1">
        <v>0</v>
      </c>
      <c r="V2731">
        <v>16</v>
      </c>
    </row>
    <row r="2732" spans="1:22" ht="15">
      <c r="A2732" s="4">
        <v>2725</v>
      </c>
      <c r="B2732">
        <v>452</v>
      </c>
      <c r="C2732" t="s">
        <v>5841</v>
      </c>
      <c r="D2732" t="s">
        <v>179</v>
      </c>
      <c r="E2732" t="s">
        <v>5842</v>
      </c>
      <c r="F2732" t="s">
        <v>5843</v>
      </c>
      <c r="G2732" t="str">
        <f>"00531223"</f>
        <v>00531223</v>
      </c>
      <c r="H2732">
        <v>15.6</v>
      </c>
      <c r="I2732">
        <v>0</v>
      </c>
      <c r="M2732">
        <v>0</v>
      </c>
      <c r="N2732">
        <v>0</v>
      </c>
      <c r="O2732">
        <v>0</v>
      </c>
      <c r="P2732">
        <v>15.6</v>
      </c>
      <c r="Q2732">
        <v>0</v>
      </c>
      <c r="R2732">
        <v>0</v>
      </c>
      <c r="S2732">
        <v>0</v>
      </c>
      <c r="T2732">
        <v>0</v>
      </c>
      <c r="U2732" s="1">
        <v>0</v>
      </c>
      <c r="V2732">
        <v>15.6</v>
      </c>
    </row>
    <row r="2733" spans="1:22" ht="15">
      <c r="A2733" s="4">
        <v>2726</v>
      </c>
      <c r="B2733">
        <v>1141</v>
      </c>
      <c r="C2733" t="s">
        <v>5844</v>
      </c>
      <c r="D2733" t="s">
        <v>222</v>
      </c>
      <c r="E2733" t="s">
        <v>5845</v>
      </c>
      <c r="F2733" t="s">
        <v>5846</v>
      </c>
      <c r="G2733" t="str">
        <f>"00273023"</f>
        <v>00273023</v>
      </c>
      <c r="H2733">
        <v>11.6</v>
      </c>
      <c r="I2733">
        <v>0</v>
      </c>
      <c r="M2733">
        <v>4</v>
      </c>
      <c r="N2733">
        <v>0</v>
      </c>
      <c r="O2733">
        <v>0</v>
      </c>
      <c r="P2733">
        <v>15.6</v>
      </c>
      <c r="Q2733">
        <v>0</v>
      </c>
      <c r="R2733">
        <v>0</v>
      </c>
      <c r="S2733">
        <v>0</v>
      </c>
      <c r="T2733">
        <v>0</v>
      </c>
      <c r="U2733" s="1">
        <v>0</v>
      </c>
      <c r="V2733">
        <v>15.6</v>
      </c>
    </row>
    <row r="2734" spans="1:22" ht="15">
      <c r="A2734" s="4">
        <v>2727</v>
      </c>
      <c r="B2734">
        <v>1733</v>
      </c>
      <c r="C2734" t="s">
        <v>5847</v>
      </c>
      <c r="D2734" t="s">
        <v>76</v>
      </c>
      <c r="E2734" t="s">
        <v>23</v>
      </c>
      <c r="F2734" t="s">
        <v>5848</v>
      </c>
      <c r="G2734" t="str">
        <f>"00519535"</f>
        <v>00519535</v>
      </c>
      <c r="H2734">
        <v>15.44</v>
      </c>
      <c r="I2734">
        <v>0</v>
      </c>
      <c r="M2734">
        <v>0</v>
      </c>
      <c r="N2734">
        <v>0</v>
      </c>
      <c r="O2734">
        <v>0</v>
      </c>
      <c r="P2734">
        <v>15.44</v>
      </c>
      <c r="Q2734">
        <v>0</v>
      </c>
      <c r="R2734">
        <v>0</v>
      </c>
      <c r="S2734">
        <v>0</v>
      </c>
      <c r="T2734">
        <v>0</v>
      </c>
      <c r="U2734" s="1">
        <v>0</v>
      </c>
      <c r="V2734">
        <v>15.44</v>
      </c>
    </row>
    <row r="2735" spans="1:22" ht="15">
      <c r="A2735" s="4">
        <v>2728</v>
      </c>
      <c r="B2735">
        <v>3061</v>
      </c>
      <c r="C2735" t="s">
        <v>5849</v>
      </c>
      <c r="D2735" t="s">
        <v>179</v>
      </c>
      <c r="E2735" t="s">
        <v>11</v>
      </c>
      <c r="F2735" t="s">
        <v>5850</v>
      </c>
      <c r="G2735" t="str">
        <f>"00237859"</f>
        <v>00237859</v>
      </c>
      <c r="H2735">
        <v>12.32</v>
      </c>
      <c r="I2735">
        <v>0</v>
      </c>
      <c r="M2735">
        <v>0</v>
      </c>
      <c r="N2735">
        <v>0</v>
      </c>
      <c r="O2735">
        <v>0</v>
      </c>
      <c r="P2735">
        <v>12.32</v>
      </c>
      <c r="Q2735">
        <v>0</v>
      </c>
      <c r="R2735">
        <v>0</v>
      </c>
      <c r="S2735">
        <v>3</v>
      </c>
      <c r="T2735">
        <v>0</v>
      </c>
      <c r="U2735" s="1">
        <v>0</v>
      </c>
      <c r="V2735">
        <v>15.32</v>
      </c>
    </row>
    <row r="2736" spans="1:22" ht="15">
      <c r="A2736" s="4">
        <v>2729</v>
      </c>
      <c r="B2736">
        <v>3308</v>
      </c>
      <c r="C2736" t="s">
        <v>5851</v>
      </c>
      <c r="D2736" t="s">
        <v>963</v>
      </c>
      <c r="E2736" t="s">
        <v>5852</v>
      </c>
      <c r="F2736" t="s">
        <v>5853</v>
      </c>
      <c r="G2736" t="str">
        <f>"00526226"</f>
        <v>00526226</v>
      </c>
      <c r="H2736">
        <v>11.28</v>
      </c>
      <c r="I2736">
        <v>0</v>
      </c>
      <c r="M2736">
        <v>4</v>
      </c>
      <c r="N2736">
        <v>0</v>
      </c>
      <c r="O2736">
        <v>0</v>
      </c>
      <c r="P2736">
        <v>15.28</v>
      </c>
      <c r="Q2736">
        <v>0</v>
      </c>
      <c r="R2736">
        <v>0</v>
      </c>
      <c r="S2736">
        <v>0</v>
      </c>
      <c r="T2736">
        <v>0</v>
      </c>
      <c r="U2736" s="1">
        <v>0</v>
      </c>
      <c r="V2736">
        <v>15.28</v>
      </c>
    </row>
    <row r="2737" spans="1:22" ht="15">
      <c r="A2737" s="4">
        <v>2730</v>
      </c>
      <c r="B2737">
        <v>3106</v>
      </c>
      <c r="C2737" t="s">
        <v>5854</v>
      </c>
      <c r="D2737" t="s">
        <v>1964</v>
      </c>
      <c r="E2737" t="s">
        <v>19</v>
      </c>
      <c r="F2737" t="s">
        <v>5855</v>
      </c>
      <c r="G2737" t="str">
        <f>"00509109"</f>
        <v>00509109</v>
      </c>
      <c r="H2737">
        <v>7.2</v>
      </c>
      <c r="I2737">
        <v>0</v>
      </c>
      <c r="L2737">
        <v>4</v>
      </c>
      <c r="M2737">
        <v>4</v>
      </c>
      <c r="N2737">
        <v>4</v>
      </c>
      <c r="O2737">
        <v>0</v>
      </c>
      <c r="P2737">
        <v>15.2</v>
      </c>
      <c r="Q2737">
        <v>0</v>
      </c>
      <c r="R2737">
        <v>0</v>
      </c>
      <c r="S2737">
        <v>0</v>
      </c>
      <c r="T2737">
        <v>0</v>
      </c>
      <c r="U2737" s="1">
        <v>0</v>
      </c>
      <c r="V2737">
        <v>15.2</v>
      </c>
    </row>
    <row r="2738" spans="1:22" ht="15">
      <c r="A2738" s="4">
        <v>2731</v>
      </c>
      <c r="B2738">
        <v>2803</v>
      </c>
      <c r="C2738" t="s">
        <v>2504</v>
      </c>
      <c r="D2738" t="s">
        <v>193</v>
      </c>
      <c r="E2738" t="s">
        <v>15</v>
      </c>
      <c r="F2738" t="s">
        <v>5856</v>
      </c>
      <c r="G2738" t="str">
        <f>"00532038"</f>
        <v>00532038</v>
      </c>
      <c r="H2738">
        <v>7.2</v>
      </c>
      <c r="I2738">
        <v>0</v>
      </c>
      <c r="L2738">
        <v>4</v>
      </c>
      <c r="M2738">
        <v>4</v>
      </c>
      <c r="N2738">
        <v>4</v>
      </c>
      <c r="O2738">
        <v>0</v>
      </c>
      <c r="P2738">
        <v>15.2</v>
      </c>
      <c r="Q2738">
        <v>0</v>
      </c>
      <c r="R2738">
        <v>0</v>
      </c>
      <c r="S2738">
        <v>0</v>
      </c>
      <c r="T2738">
        <v>0</v>
      </c>
      <c r="U2738" s="1">
        <v>0</v>
      </c>
      <c r="V2738">
        <v>15.2</v>
      </c>
    </row>
    <row r="2739" spans="1:22" ht="15">
      <c r="A2739" s="4">
        <v>2732</v>
      </c>
      <c r="B2739">
        <v>3301</v>
      </c>
      <c r="C2739" t="s">
        <v>2258</v>
      </c>
      <c r="D2739" t="s">
        <v>102</v>
      </c>
      <c r="E2739" t="s">
        <v>514</v>
      </c>
      <c r="F2739" t="s">
        <v>5857</v>
      </c>
      <c r="G2739" t="str">
        <f>"201502000426"</f>
        <v>201502000426</v>
      </c>
      <c r="H2739">
        <v>7.2</v>
      </c>
      <c r="I2739">
        <v>0</v>
      </c>
      <c r="L2739">
        <v>4</v>
      </c>
      <c r="M2739">
        <v>4</v>
      </c>
      <c r="N2739">
        <v>4</v>
      </c>
      <c r="O2739">
        <v>0</v>
      </c>
      <c r="P2739">
        <v>15.2</v>
      </c>
      <c r="Q2739">
        <v>0</v>
      </c>
      <c r="R2739">
        <v>0</v>
      </c>
      <c r="S2739">
        <v>0</v>
      </c>
      <c r="T2739">
        <v>0</v>
      </c>
      <c r="U2739" s="1">
        <v>0</v>
      </c>
      <c r="V2739">
        <v>15.2</v>
      </c>
    </row>
    <row r="2740" spans="1:22" ht="15">
      <c r="A2740" s="4">
        <v>2733</v>
      </c>
      <c r="B2740">
        <v>914</v>
      </c>
      <c r="C2740" t="s">
        <v>5858</v>
      </c>
      <c r="D2740" t="s">
        <v>273</v>
      </c>
      <c r="E2740" t="s">
        <v>157</v>
      </c>
      <c r="F2740" t="s">
        <v>5859</v>
      </c>
      <c r="G2740" t="str">
        <f>"00162191"</f>
        <v>00162191</v>
      </c>
      <c r="H2740">
        <v>7.2</v>
      </c>
      <c r="I2740">
        <v>0</v>
      </c>
      <c r="L2740">
        <v>4</v>
      </c>
      <c r="M2740">
        <v>4</v>
      </c>
      <c r="N2740">
        <v>4</v>
      </c>
      <c r="O2740">
        <v>0</v>
      </c>
      <c r="P2740">
        <v>15.2</v>
      </c>
      <c r="Q2740">
        <v>0</v>
      </c>
      <c r="R2740">
        <v>0</v>
      </c>
      <c r="S2740">
        <v>0</v>
      </c>
      <c r="T2740">
        <v>0</v>
      </c>
      <c r="U2740" s="1">
        <v>0</v>
      </c>
      <c r="V2740">
        <v>15.2</v>
      </c>
    </row>
    <row r="2741" spans="1:22" ht="15">
      <c r="A2741" s="4">
        <v>2734</v>
      </c>
      <c r="B2741">
        <v>596</v>
      </c>
      <c r="C2741" t="s">
        <v>5860</v>
      </c>
      <c r="D2741" t="s">
        <v>1306</v>
      </c>
      <c r="E2741" t="s">
        <v>15</v>
      </c>
      <c r="F2741" t="s">
        <v>5861</v>
      </c>
      <c r="G2741" t="str">
        <f>"00017119"</f>
        <v>00017119</v>
      </c>
      <c r="H2741">
        <v>7.2</v>
      </c>
      <c r="I2741">
        <v>0</v>
      </c>
      <c r="L2741">
        <v>4</v>
      </c>
      <c r="M2741">
        <v>4</v>
      </c>
      <c r="N2741">
        <v>4</v>
      </c>
      <c r="O2741">
        <v>0</v>
      </c>
      <c r="P2741">
        <v>15.2</v>
      </c>
      <c r="Q2741">
        <v>0</v>
      </c>
      <c r="R2741">
        <v>0</v>
      </c>
      <c r="S2741">
        <v>0</v>
      </c>
      <c r="T2741">
        <v>0</v>
      </c>
      <c r="U2741" s="1">
        <v>0</v>
      </c>
      <c r="V2741">
        <v>15.2</v>
      </c>
    </row>
    <row r="2742" spans="1:22" ht="15">
      <c r="A2742" s="4">
        <v>2735</v>
      </c>
      <c r="B2742">
        <v>1966</v>
      </c>
      <c r="C2742" t="s">
        <v>1150</v>
      </c>
      <c r="D2742" t="s">
        <v>76</v>
      </c>
      <c r="E2742" t="s">
        <v>4307</v>
      </c>
      <c r="F2742" t="s">
        <v>5862</v>
      </c>
      <c r="G2742" t="str">
        <f>"00150109"</f>
        <v>00150109</v>
      </c>
      <c r="H2742">
        <v>7.2</v>
      </c>
      <c r="I2742">
        <v>0</v>
      </c>
      <c r="L2742">
        <v>4</v>
      </c>
      <c r="M2742">
        <v>4</v>
      </c>
      <c r="N2742">
        <v>4</v>
      </c>
      <c r="O2742">
        <v>0</v>
      </c>
      <c r="P2742">
        <v>15.2</v>
      </c>
      <c r="Q2742">
        <v>0</v>
      </c>
      <c r="R2742">
        <v>0</v>
      </c>
      <c r="S2742">
        <v>0</v>
      </c>
      <c r="T2742">
        <v>0</v>
      </c>
      <c r="U2742" s="1">
        <v>0</v>
      </c>
      <c r="V2742">
        <v>15.2</v>
      </c>
    </row>
    <row r="2743" spans="1:22" ht="15">
      <c r="A2743" s="4">
        <v>2736</v>
      </c>
      <c r="B2743">
        <v>3054</v>
      </c>
      <c r="C2743" t="s">
        <v>1438</v>
      </c>
      <c r="D2743" t="s">
        <v>582</v>
      </c>
      <c r="E2743" t="s">
        <v>86</v>
      </c>
      <c r="F2743" t="s">
        <v>5863</v>
      </c>
      <c r="G2743" t="str">
        <f>"00158133"</f>
        <v>00158133</v>
      </c>
      <c r="H2743">
        <v>7.2</v>
      </c>
      <c r="I2743">
        <v>0</v>
      </c>
      <c r="L2743">
        <v>4</v>
      </c>
      <c r="M2743">
        <v>4</v>
      </c>
      <c r="N2743">
        <v>4</v>
      </c>
      <c r="O2743">
        <v>0</v>
      </c>
      <c r="P2743">
        <v>15.2</v>
      </c>
      <c r="Q2743">
        <v>0</v>
      </c>
      <c r="R2743">
        <v>0</v>
      </c>
      <c r="S2743">
        <v>0</v>
      </c>
      <c r="T2743">
        <v>0</v>
      </c>
      <c r="U2743" s="1">
        <v>0</v>
      </c>
      <c r="V2743">
        <v>15.2</v>
      </c>
    </row>
    <row r="2744" spans="1:22" ht="15">
      <c r="A2744" s="4">
        <v>2737</v>
      </c>
      <c r="B2744">
        <v>2129</v>
      </c>
      <c r="C2744" t="s">
        <v>5864</v>
      </c>
      <c r="D2744" t="s">
        <v>3150</v>
      </c>
      <c r="E2744" t="s">
        <v>59</v>
      </c>
      <c r="F2744" t="s">
        <v>5865</v>
      </c>
      <c r="G2744" t="str">
        <f>"00506232"</f>
        <v>00506232</v>
      </c>
      <c r="H2744">
        <v>15.2</v>
      </c>
      <c r="I2744">
        <v>0</v>
      </c>
      <c r="M2744">
        <v>0</v>
      </c>
      <c r="N2744">
        <v>0</v>
      </c>
      <c r="O2744">
        <v>0</v>
      </c>
      <c r="P2744">
        <v>15.2</v>
      </c>
      <c r="Q2744">
        <v>0</v>
      </c>
      <c r="R2744">
        <v>0</v>
      </c>
      <c r="S2744">
        <v>0</v>
      </c>
      <c r="T2744">
        <v>0</v>
      </c>
      <c r="U2744" s="1">
        <v>0</v>
      </c>
      <c r="V2744">
        <v>15.2</v>
      </c>
    </row>
    <row r="2745" spans="1:22" ht="15">
      <c r="A2745" s="4">
        <v>2738</v>
      </c>
      <c r="B2745">
        <v>2140</v>
      </c>
      <c r="C2745" t="s">
        <v>5866</v>
      </c>
      <c r="D2745" t="s">
        <v>5867</v>
      </c>
      <c r="E2745" t="s">
        <v>317</v>
      </c>
      <c r="F2745" t="s">
        <v>5868</v>
      </c>
      <c r="G2745" t="str">
        <f>"201409006113"</f>
        <v>201409006113</v>
      </c>
      <c r="H2745">
        <v>7.2</v>
      </c>
      <c r="I2745">
        <v>0</v>
      </c>
      <c r="L2745">
        <v>4</v>
      </c>
      <c r="M2745">
        <v>4</v>
      </c>
      <c r="N2745">
        <v>4</v>
      </c>
      <c r="O2745">
        <v>0</v>
      </c>
      <c r="P2745">
        <v>15.2</v>
      </c>
      <c r="Q2745">
        <v>0</v>
      </c>
      <c r="R2745">
        <v>0</v>
      </c>
      <c r="S2745">
        <v>0</v>
      </c>
      <c r="T2745">
        <v>0</v>
      </c>
      <c r="U2745" s="1">
        <v>0</v>
      </c>
      <c r="V2745">
        <v>15.2</v>
      </c>
    </row>
    <row r="2746" spans="1:22" ht="15">
      <c r="A2746" s="4">
        <v>2739</v>
      </c>
      <c r="B2746">
        <v>2938</v>
      </c>
      <c r="C2746" t="s">
        <v>5869</v>
      </c>
      <c r="D2746" t="s">
        <v>5870</v>
      </c>
      <c r="E2746" t="s">
        <v>5871</v>
      </c>
      <c r="F2746" t="s">
        <v>5872</v>
      </c>
      <c r="G2746" t="str">
        <f>"00530704"</f>
        <v>00530704</v>
      </c>
      <c r="H2746">
        <v>7.2</v>
      </c>
      <c r="I2746">
        <v>0</v>
      </c>
      <c r="L2746">
        <v>4</v>
      </c>
      <c r="M2746">
        <v>4</v>
      </c>
      <c r="N2746">
        <v>4</v>
      </c>
      <c r="O2746">
        <v>0</v>
      </c>
      <c r="P2746">
        <v>15.2</v>
      </c>
      <c r="Q2746">
        <v>0</v>
      </c>
      <c r="R2746">
        <v>0</v>
      </c>
      <c r="S2746">
        <v>0</v>
      </c>
      <c r="T2746">
        <v>0</v>
      </c>
      <c r="U2746" s="1">
        <v>0</v>
      </c>
      <c r="V2746">
        <v>15.2</v>
      </c>
    </row>
    <row r="2747" spans="1:22" ht="15">
      <c r="A2747" s="4">
        <v>2740</v>
      </c>
      <c r="B2747">
        <v>2066</v>
      </c>
      <c r="C2747" t="s">
        <v>5873</v>
      </c>
      <c r="D2747" t="s">
        <v>5874</v>
      </c>
      <c r="E2747" t="s">
        <v>19</v>
      </c>
      <c r="F2747" t="s">
        <v>5875</v>
      </c>
      <c r="G2747" t="str">
        <f>"00083441"</f>
        <v>00083441</v>
      </c>
      <c r="H2747">
        <v>7.2</v>
      </c>
      <c r="I2747">
        <v>0</v>
      </c>
      <c r="L2747">
        <v>4</v>
      </c>
      <c r="M2747">
        <v>4</v>
      </c>
      <c r="N2747">
        <v>4</v>
      </c>
      <c r="O2747">
        <v>0</v>
      </c>
      <c r="P2747">
        <v>15.2</v>
      </c>
      <c r="Q2747">
        <v>0</v>
      </c>
      <c r="R2747">
        <v>0</v>
      </c>
      <c r="S2747">
        <v>0</v>
      </c>
      <c r="T2747">
        <v>0</v>
      </c>
      <c r="U2747" s="1">
        <v>0</v>
      </c>
      <c r="V2747">
        <v>15.2</v>
      </c>
    </row>
    <row r="2748" spans="1:22" ht="15">
      <c r="A2748" s="4">
        <v>2741</v>
      </c>
      <c r="B2748">
        <v>808</v>
      </c>
      <c r="C2748" t="s">
        <v>5876</v>
      </c>
      <c r="D2748" t="s">
        <v>14</v>
      </c>
      <c r="E2748" t="s">
        <v>225</v>
      </c>
      <c r="F2748" t="s">
        <v>5877</v>
      </c>
      <c r="G2748" t="str">
        <f>"00529441"</f>
        <v>00529441</v>
      </c>
      <c r="H2748">
        <v>15.12</v>
      </c>
      <c r="I2748">
        <v>0</v>
      </c>
      <c r="M2748">
        <v>0</v>
      </c>
      <c r="N2748">
        <v>0</v>
      </c>
      <c r="O2748">
        <v>0</v>
      </c>
      <c r="P2748">
        <v>15.12</v>
      </c>
      <c r="Q2748">
        <v>0</v>
      </c>
      <c r="R2748">
        <v>0</v>
      </c>
      <c r="S2748">
        <v>0</v>
      </c>
      <c r="T2748">
        <v>0</v>
      </c>
      <c r="U2748" s="1">
        <v>0</v>
      </c>
      <c r="V2748">
        <v>15.12</v>
      </c>
    </row>
    <row r="2749" spans="1:22" ht="15">
      <c r="A2749" s="4">
        <v>2742</v>
      </c>
      <c r="B2749">
        <v>1355</v>
      </c>
      <c r="C2749" t="s">
        <v>5878</v>
      </c>
      <c r="D2749" t="s">
        <v>76</v>
      </c>
      <c r="E2749" t="s">
        <v>90</v>
      </c>
      <c r="F2749" t="s">
        <v>5879</v>
      </c>
      <c r="G2749" t="str">
        <f>"00381350"</f>
        <v>00381350</v>
      </c>
      <c r="H2749">
        <v>12</v>
      </c>
      <c r="I2749">
        <v>0</v>
      </c>
      <c r="M2749">
        <v>0</v>
      </c>
      <c r="N2749">
        <v>0</v>
      </c>
      <c r="O2749">
        <v>0</v>
      </c>
      <c r="P2749">
        <v>12</v>
      </c>
      <c r="Q2749">
        <v>0</v>
      </c>
      <c r="R2749">
        <v>0</v>
      </c>
      <c r="S2749">
        <v>3</v>
      </c>
      <c r="T2749">
        <v>0</v>
      </c>
      <c r="U2749" s="1">
        <v>0</v>
      </c>
      <c r="V2749">
        <v>15</v>
      </c>
    </row>
    <row r="2750" spans="1:22" ht="15">
      <c r="A2750" s="4">
        <v>2743</v>
      </c>
      <c r="B2750">
        <v>3131</v>
      </c>
      <c r="C2750" t="s">
        <v>5880</v>
      </c>
      <c r="D2750" t="s">
        <v>179</v>
      </c>
      <c r="E2750" t="s">
        <v>83</v>
      </c>
      <c r="F2750" t="s">
        <v>5881</v>
      </c>
      <c r="G2750" t="str">
        <f>"00532960"</f>
        <v>00532960</v>
      </c>
      <c r="H2750">
        <v>14.4</v>
      </c>
      <c r="I2750">
        <v>0</v>
      </c>
      <c r="M2750">
        <v>0</v>
      </c>
      <c r="N2750">
        <v>0</v>
      </c>
      <c r="O2750">
        <v>0</v>
      </c>
      <c r="P2750">
        <v>14.4</v>
      </c>
      <c r="Q2750">
        <v>0</v>
      </c>
      <c r="R2750">
        <v>0</v>
      </c>
      <c r="S2750">
        <v>0</v>
      </c>
      <c r="T2750">
        <v>0</v>
      </c>
      <c r="U2750" s="1">
        <v>0</v>
      </c>
      <c r="V2750">
        <v>14.4</v>
      </c>
    </row>
    <row r="2751" spans="1:22" ht="15">
      <c r="A2751" s="4">
        <v>2744</v>
      </c>
      <c r="B2751">
        <v>516</v>
      </c>
      <c r="C2751" t="s">
        <v>5882</v>
      </c>
      <c r="D2751" t="s">
        <v>211</v>
      </c>
      <c r="E2751" t="s">
        <v>19</v>
      </c>
      <c r="F2751" t="s">
        <v>5883</v>
      </c>
      <c r="G2751" t="str">
        <f>"00532989"</f>
        <v>00532989</v>
      </c>
      <c r="H2751">
        <v>14.4</v>
      </c>
      <c r="I2751">
        <v>0</v>
      </c>
      <c r="M2751">
        <v>0</v>
      </c>
      <c r="N2751">
        <v>0</v>
      </c>
      <c r="O2751">
        <v>0</v>
      </c>
      <c r="P2751">
        <v>14.4</v>
      </c>
      <c r="Q2751">
        <v>0</v>
      </c>
      <c r="R2751">
        <v>0</v>
      </c>
      <c r="S2751">
        <v>0</v>
      </c>
      <c r="T2751">
        <v>0</v>
      </c>
      <c r="U2751" s="1">
        <v>0</v>
      </c>
      <c r="V2751">
        <v>14.4</v>
      </c>
    </row>
    <row r="2752" spans="1:22" ht="15">
      <c r="A2752" s="4">
        <v>2745</v>
      </c>
      <c r="B2752">
        <v>336</v>
      </c>
      <c r="C2752" t="s">
        <v>4069</v>
      </c>
      <c r="D2752" t="s">
        <v>799</v>
      </c>
      <c r="E2752" t="s">
        <v>30</v>
      </c>
      <c r="F2752" t="s">
        <v>5884</v>
      </c>
      <c r="G2752" t="str">
        <f>"00515880"</f>
        <v>00515880</v>
      </c>
      <c r="H2752">
        <v>14.4</v>
      </c>
      <c r="I2752">
        <v>0</v>
      </c>
      <c r="M2752">
        <v>0</v>
      </c>
      <c r="N2752">
        <v>0</v>
      </c>
      <c r="O2752">
        <v>0</v>
      </c>
      <c r="P2752">
        <v>14.4</v>
      </c>
      <c r="Q2752">
        <v>0</v>
      </c>
      <c r="R2752">
        <v>0</v>
      </c>
      <c r="S2752">
        <v>0</v>
      </c>
      <c r="T2752">
        <v>0</v>
      </c>
      <c r="U2752" s="1">
        <v>0</v>
      </c>
      <c r="V2752">
        <v>14.4</v>
      </c>
    </row>
    <row r="2753" spans="1:22" ht="15">
      <c r="A2753" s="4">
        <v>2746</v>
      </c>
      <c r="B2753">
        <v>3169</v>
      </c>
      <c r="C2753" t="s">
        <v>5885</v>
      </c>
      <c r="D2753" t="s">
        <v>5886</v>
      </c>
      <c r="E2753" t="s">
        <v>83</v>
      </c>
      <c r="F2753" t="s">
        <v>5887</v>
      </c>
      <c r="G2753" t="str">
        <f>"00531453"</f>
        <v>00531453</v>
      </c>
      <c r="H2753">
        <v>14.4</v>
      </c>
      <c r="I2753">
        <v>0</v>
      </c>
      <c r="M2753">
        <v>0</v>
      </c>
      <c r="N2753">
        <v>0</v>
      </c>
      <c r="O2753">
        <v>0</v>
      </c>
      <c r="P2753">
        <v>14.4</v>
      </c>
      <c r="Q2753">
        <v>0</v>
      </c>
      <c r="R2753">
        <v>0</v>
      </c>
      <c r="S2753">
        <v>0</v>
      </c>
      <c r="T2753">
        <v>0</v>
      </c>
      <c r="U2753" s="1">
        <v>0</v>
      </c>
      <c r="V2753">
        <v>14.4</v>
      </c>
    </row>
    <row r="2754" spans="1:22" ht="15">
      <c r="A2754" s="4">
        <v>2747</v>
      </c>
      <c r="B2754">
        <v>2259</v>
      </c>
      <c r="C2754" t="s">
        <v>5888</v>
      </c>
      <c r="D2754" t="s">
        <v>5889</v>
      </c>
      <c r="E2754" t="s">
        <v>90</v>
      </c>
      <c r="F2754" t="s">
        <v>5890</v>
      </c>
      <c r="G2754" t="str">
        <f>"00514135"</f>
        <v>00514135</v>
      </c>
      <c r="H2754">
        <v>14.4</v>
      </c>
      <c r="I2754">
        <v>0</v>
      </c>
      <c r="M2754">
        <v>0</v>
      </c>
      <c r="N2754">
        <v>0</v>
      </c>
      <c r="O2754">
        <v>0</v>
      </c>
      <c r="P2754">
        <v>14.4</v>
      </c>
      <c r="Q2754">
        <v>0</v>
      </c>
      <c r="R2754">
        <v>0</v>
      </c>
      <c r="S2754">
        <v>0</v>
      </c>
      <c r="T2754">
        <v>0</v>
      </c>
      <c r="U2754" s="1">
        <v>0</v>
      </c>
      <c r="V2754">
        <v>14.4</v>
      </c>
    </row>
    <row r="2755" spans="1:22" ht="15">
      <c r="A2755" s="4">
        <v>2748</v>
      </c>
      <c r="B2755">
        <v>1001</v>
      </c>
      <c r="C2755" t="s">
        <v>5891</v>
      </c>
      <c r="D2755" t="s">
        <v>511</v>
      </c>
      <c r="E2755" t="s">
        <v>11</v>
      </c>
      <c r="F2755" t="s">
        <v>5892</v>
      </c>
      <c r="G2755" t="str">
        <f>"00531258"</f>
        <v>00531258</v>
      </c>
      <c r="H2755">
        <v>14.4</v>
      </c>
      <c r="I2755">
        <v>0</v>
      </c>
      <c r="M2755">
        <v>0</v>
      </c>
      <c r="N2755">
        <v>0</v>
      </c>
      <c r="O2755">
        <v>0</v>
      </c>
      <c r="P2755">
        <v>14.4</v>
      </c>
      <c r="Q2755">
        <v>0</v>
      </c>
      <c r="R2755">
        <v>0</v>
      </c>
      <c r="S2755">
        <v>0</v>
      </c>
      <c r="T2755">
        <v>0</v>
      </c>
      <c r="U2755" s="1">
        <v>0</v>
      </c>
      <c r="V2755">
        <v>14.4</v>
      </c>
    </row>
    <row r="2756" spans="1:22" ht="15">
      <c r="A2756" s="4">
        <v>2749</v>
      </c>
      <c r="B2756">
        <v>209</v>
      </c>
      <c r="C2756" t="s">
        <v>5893</v>
      </c>
      <c r="D2756" t="s">
        <v>5894</v>
      </c>
      <c r="E2756" t="s">
        <v>447</v>
      </c>
      <c r="F2756" t="s">
        <v>5895</v>
      </c>
      <c r="G2756" t="str">
        <f>"00531953"</f>
        <v>00531953</v>
      </c>
      <c r="H2756">
        <v>14.4</v>
      </c>
      <c r="I2756">
        <v>0</v>
      </c>
      <c r="M2756">
        <v>0</v>
      </c>
      <c r="N2756">
        <v>0</v>
      </c>
      <c r="O2756">
        <v>0</v>
      </c>
      <c r="P2756">
        <v>14.4</v>
      </c>
      <c r="Q2756">
        <v>0</v>
      </c>
      <c r="R2756">
        <v>0</v>
      </c>
      <c r="S2756">
        <v>0</v>
      </c>
      <c r="T2756">
        <v>0</v>
      </c>
      <c r="U2756" s="1">
        <v>0</v>
      </c>
      <c r="V2756">
        <v>14.4</v>
      </c>
    </row>
    <row r="2757" spans="1:22" ht="15">
      <c r="A2757" s="4">
        <v>2750</v>
      </c>
      <c r="B2757">
        <v>3424</v>
      </c>
      <c r="C2757" t="s">
        <v>2147</v>
      </c>
      <c r="D2757" t="s">
        <v>179</v>
      </c>
      <c r="E2757" t="s">
        <v>73</v>
      </c>
      <c r="F2757" t="s">
        <v>5896</v>
      </c>
      <c r="G2757" t="str">
        <f>"00533570"</f>
        <v>00533570</v>
      </c>
      <c r="H2757">
        <v>14.4</v>
      </c>
      <c r="I2757">
        <v>0</v>
      </c>
      <c r="M2757">
        <v>0</v>
      </c>
      <c r="N2757">
        <v>0</v>
      </c>
      <c r="O2757">
        <v>0</v>
      </c>
      <c r="P2757">
        <v>14.4</v>
      </c>
      <c r="Q2757">
        <v>0</v>
      </c>
      <c r="R2757">
        <v>0</v>
      </c>
      <c r="S2757">
        <v>0</v>
      </c>
      <c r="T2757">
        <v>0</v>
      </c>
      <c r="U2757" s="1">
        <v>0</v>
      </c>
      <c r="V2757">
        <v>14.4</v>
      </c>
    </row>
    <row r="2758" spans="1:22" ht="15">
      <c r="A2758" s="4">
        <v>2751</v>
      </c>
      <c r="B2758">
        <v>2262</v>
      </c>
      <c r="C2758" t="s">
        <v>5566</v>
      </c>
      <c r="D2758" t="s">
        <v>121</v>
      </c>
      <c r="E2758" t="s">
        <v>30</v>
      </c>
      <c r="F2758" t="s">
        <v>5897</v>
      </c>
      <c r="G2758" t="str">
        <f>"00523685"</f>
        <v>00523685</v>
      </c>
      <c r="H2758">
        <v>14.4</v>
      </c>
      <c r="I2758">
        <v>0</v>
      </c>
      <c r="M2758">
        <v>0</v>
      </c>
      <c r="N2758">
        <v>0</v>
      </c>
      <c r="O2758">
        <v>0</v>
      </c>
      <c r="P2758">
        <v>14.4</v>
      </c>
      <c r="Q2758">
        <v>0</v>
      </c>
      <c r="R2758">
        <v>0</v>
      </c>
      <c r="S2758">
        <v>0</v>
      </c>
      <c r="T2758">
        <v>0</v>
      </c>
      <c r="U2758" s="1">
        <v>0</v>
      </c>
      <c r="V2758">
        <v>14.4</v>
      </c>
    </row>
    <row r="2759" spans="1:22" ht="15">
      <c r="A2759" s="4">
        <v>2752</v>
      </c>
      <c r="B2759">
        <v>3254</v>
      </c>
      <c r="C2759" t="s">
        <v>5898</v>
      </c>
      <c r="D2759" t="s">
        <v>1492</v>
      </c>
      <c r="E2759" t="s">
        <v>90</v>
      </c>
      <c r="F2759" t="s">
        <v>5899</v>
      </c>
      <c r="G2759" t="str">
        <f>"00532956"</f>
        <v>00532956</v>
      </c>
      <c r="H2759">
        <v>14.4</v>
      </c>
      <c r="I2759">
        <v>0</v>
      </c>
      <c r="M2759">
        <v>0</v>
      </c>
      <c r="N2759">
        <v>0</v>
      </c>
      <c r="O2759">
        <v>0</v>
      </c>
      <c r="P2759">
        <v>14.4</v>
      </c>
      <c r="Q2759">
        <v>0</v>
      </c>
      <c r="R2759">
        <v>0</v>
      </c>
      <c r="S2759">
        <v>0</v>
      </c>
      <c r="T2759">
        <v>0</v>
      </c>
      <c r="U2759" s="1">
        <v>0</v>
      </c>
      <c r="V2759">
        <v>14.4</v>
      </c>
    </row>
    <row r="2760" spans="1:22" ht="15">
      <c r="A2760" s="4">
        <v>2753</v>
      </c>
      <c r="B2760">
        <v>529</v>
      </c>
      <c r="C2760" t="s">
        <v>5900</v>
      </c>
      <c r="D2760" t="s">
        <v>1202</v>
      </c>
      <c r="E2760" t="s">
        <v>201</v>
      </c>
      <c r="F2760" t="s">
        <v>5901</v>
      </c>
      <c r="G2760" t="str">
        <f>"00526981"</f>
        <v>00526981</v>
      </c>
      <c r="H2760">
        <v>14.4</v>
      </c>
      <c r="I2760">
        <v>0</v>
      </c>
      <c r="M2760">
        <v>0</v>
      </c>
      <c r="N2760">
        <v>0</v>
      </c>
      <c r="O2760">
        <v>0</v>
      </c>
      <c r="P2760">
        <v>14.4</v>
      </c>
      <c r="Q2760">
        <v>0</v>
      </c>
      <c r="R2760">
        <v>0</v>
      </c>
      <c r="S2760">
        <v>0</v>
      </c>
      <c r="T2760">
        <v>0</v>
      </c>
      <c r="U2760" s="1">
        <v>0</v>
      </c>
      <c r="V2760">
        <v>14.4</v>
      </c>
    </row>
    <row r="2761" spans="1:22" ht="15">
      <c r="A2761" s="4">
        <v>2754</v>
      </c>
      <c r="B2761">
        <v>486</v>
      </c>
      <c r="C2761" t="s">
        <v>5902</v>
      </c>
      <c r="D2761" t="s">
        <v>121</v>
      </c>
      <c r="E2761" t="s">
        <v>11</v>
      </c>
      <c r="F2761" t="s">
        <v>5903</v>
      </c>
      <c r="G2761" t="str">
        <f>"201406013085"</f>
        <v>201406013085</v>
      </c>
      <c r="H2761">
        <v>14.4</v>
      </c>
      <c r="I2761">
        <v>0</v>
      </c>
      <c r="M2761">
        <v>0</v>
      </c>
      <c r="N2761">
        <v>0</v>
      </c>
      <c r="O2761">
        <v>0</v>
      </c>
      <c r="P2761">
        <v>14.4</v>
      </c>
      <c r="Q2761">
        <v>0</v>
      </c>
      <c r="R2761">
        <v>0</v>
      </c>
      <c r="S2761">
        <v>0</v>
      </c>
      <c r="T2761">
        <v>0</v>
      </c>
      <c r="U2761" s="1">
        <v>0</v>
      </c>
      <c r="V2761">
        <v>14.4</v>
      </c>
    </row>
    <row r="2762" spans="1:22" ht="15">
      <c r="A2762" s="4">
        <v>2755</v>
      </c>
      <c r="B2762">
        <v>2194</v>
      </c>
      <c r="C2762" t="s">
        <v>5904</v>
      </c>
      <c r="D2762" t="s">
        <v>102</v>
      </c>
      <c r="E2762" t="s">
        <v>2106</v>
      </c>
      <c r="F2762" t="s">
        <v>5905</v>
      </c>
      <c r="G2762" t="str">
        <f>"00218276"</f>
        <v>00218276</v>
      </c>
      <c r="H2762">
        <v>14.4</v>
      </c>
      <c r="I2762">
        <v>0</v>
      </c>
      <c r="M2762">
        <v>0</v>
      </c>
      <c r="N2762">
        <v>0</v>
      </c>
      <c r="O2762">
        <v>0</v>
      </c>
      <c r="P2762">
        <v>14.4</v>
      </c>
      <c r="Q2762">
        <v>0</v>
      </c>
      <c r="R2762">
        <v>0</v>
      </c>
      <c r="S2762">
        <v>0</v>
      </c>
      <c r="T2762">
        <v>0</v>
      </c>
      <c r="U2762" s="1">
        <v>0</v>
      </c>
      <c r="V2762">
        <v>14.4</v>
      </c>
    </row>
    <row r="2763" spans="1:22" ht="15">
      <c r="A2763" s="4">
        <v>2756</v>
      </c>
      <c r="B2763">
        <v>2241</v>
      </c>
      <c r="C2763" t="s">
        <v>5906</v>
      </c>
      <c r="D2763" t="s">
        <v>26</v>
      </c>
      <c r="E2763" t="s">
        <v>51</v>
      </c>
      <c r="F2763" t="s">
        <v>5907</v>
      </c>
      <c r="G2763" t="str">
        <f>"00531024"</f>
        <v>00531024</v>
      </c>
      <c r="H2763">
        <v>14.4</v>
      </c>
      <c r="I2763">
        <v>0</v>
      </c>
      <c r="M2763">
        <v>0</v>
      </c>
      <c r="N2763">
        <v>0</v>
      </c>
      <c r="O2763">
        <v>0</v>
      </c>
      <c r="P2763">
        <v>14.4</v>
      </c>
      <c r="Q2763">
        <v>0</v>
      </c>
      <c r="R2763">
        <v>0</v>
      </c>
      <c r="S2763">
        <v>0</v>
      </c>
      <c r="T2763">
        <v>0</v>
      </c>
      <c r="U2763" s="1">
        <v>0</v>
      </c>
      <c r="V2763">
        <v>14.4</v>
      </c>
    </row>
    <row r="2764" spans="1:22" ht="15">
      <c r="A2764" s="4">
        <v>2757</v>
      </c>
      <c r="B2764">
        <v>180</v>
      </c>
      <c r="C2764" t="s">
        <v>5908</v>
      </c>
      <c r="D2764" t="s">
        <v>1006</v>
      </c>
      <c r="E2764" t="s">
        <v>19</v>
      </c>
      <c r="F2764" t="s">
        <v>5909</v>
      </c>
      <c r="G2764" t="str">
        <f>"00531898"</f>
        <v>00531898</v>
      </c>
      <c r="H2764">
        <v>14.4</v>
      </c>
      <c r="I2764">
        <v>0</v>
      </c>
      <c r="M2764">
        <v>0</v>
      </c>
      <c r="N2764">
        <v>0</v>
      </c>
      <c r="O2764">
        <v>0</v>
      </c>
      <c r="P2764">
        <v>14.4</v>
      </c>
      <c r="Q2764">
        <v>0</v>
      </c>
      <c r="R2764">
        <v>0</v>
      </c>
      <c r="S2764">
        <v>0</v>
      </c>
      <c r="T2764">
        <v>0</v>
      </c>
      <c r="U2764" s="1">
        <v>0</v>
      </c>
      <c r="V2764">
        <v>14.4</v>
      </c>
    </row>
    <row r="2765" spans="1:22" ht="15">
      <c r="A2765" s="4">
        <v>2758</v>
      </c>
      <c r="B2765">
        <v>2301</v>
      </c>
      <c r="C2765" t="s">
        <v>5910</v>
      </c>
      <c r="D2765" t="s">
        <v>2618</v>
      </c>
      <c r="E2765" t="s">
        <v>295</v>
      </c>
      <c r="F2765" t="s">
        <v>5911</v>
      </c>
      <c r="G2765" t="str">
        <f>"00533667"</f>
        <v>00533667</v>
      </c>
      <c r="H2765">
        <v>14.4</v>
      </c>
      <c r="I2765">
        <v>0</v>
      </c>
      <c r="M2765">
        <v>0</v>
      </c>
      <c r="N2765">
        <v>0</v>
      </c>
      <c r="O2765">
        <v>0</v>
      </c>
      <c r="P2765">
        <v>14.4</v>
      </c>
      <c r="Q2765">
        <v>0</v>
      </c>
      <c r="R2765">
        <v>0</v>
      </c>
      <c r="S2765">
        <v>0</v>
      </c>
      <c r="T2765">
        <v>0</v>
      </c>
      <c r="U2765" s="1">
        <v>0</v>
      </c>
      <c r="V2765">
        <v>14.4</v>
      </c>
    </row>
    <row r="2766" spans="1:22" ht="15">
      <c r="A2766" s="4">
        <v>2759</v>
      </c>
      <c r="B2766">
        <v>2805</v>
      </c>
      <c r="C2766" t="s">
        <v>5912</v>
      </c>
      <c r="D2766" t="s">
        <v>5913</v>
      </c>
      <c r="E2766" t="s">
        <v>242</v>
      </c>
      <c r="F2766" t="s">
        <v>5914</v>
      </c>
      <c r="G2766" t="str">
        <f>"00533776"</f>
        <v>00533776</v>
      </c>
      <c r="H2766">
        <v>14.4</v>
      </c>
      <c r="I2766">
        <v>0</v>
      </c>
      <c r="M2766">
        <v>0</v>
      </c>
      <c r="N2766">
        <v>0</v>
      </c>
      <c r="O2766">
        <v>0</v>
      </c>
      <c r="P2766">
        <v>14.4</v>
      </c>
      <c r="Q2766">
        <v>0</v>
      </c>
      <c r="R2766">
        <v>0</v>
      </c>
      <c r="S2766">
        <v>0</v>
      </c>
      <c r="T2766">
        <v>0</v>
      </c>
      <c r="U2766" s="1">
        <v>0</v>
      </c>
      <c r="V2766">
        <v>14.4</v>
      </c>
    </row>
    <row r="2767" spans="1:22" ht="15">
      <c r="A2767" s="4">
        <v>2760</v>
      </c>
      <c r="B2767">
        <v>457</v>
      </c>
      <c r="C2767" t="s">
        <v>5915</v>
      </c>
      <c r="D2767" t="s">
        <v>173</v>
      </c>
      <c r="E2767" t="s">
        <v>403</v>
      </c>
      <c r="F2767" t="s">
        <v>5916</v>
      </c>
      <c r="G2767" t="str">
        <f>"00510663"</f>
        <v>00510663</v>
      </c>
      <c r="H2767">
        <v>7.2</v>
      </c>
      <c r="I2767">
        <v>0</v>
      </c>
      <c r="M2767">
        <v>4</v>
      </c>
      <c r="N2767">
        <v>0</v>
      </c>
      <c r="O2767">
        <v>0</v>
      </c>
      <c r="P2767">
        <v>11.2</v>
      </c>
      <c r="Q2767">
        <v>0</v>
      </c>
      <c r="R2767">
        <v>0</v>
      </c>
      <c r="S2767">
        <v>3</v>
      </c>
      <c r="T2767">
        <v>0</v>
      </c>
      <c r="U2767" s="1">
        <v>0</v>
      </c>
      <c r="V2767">
        <v>14.2</v>
      </c>
    </row>
    <row r="2768" spans="1:22" ht="15">
      <c r="A2768" s="4">
        <v>2761</v>
      </c>
      <c r="B2768">
        <v>15</v>
      </c>
      <c r="C2768" t="s">
        <v>5917</v>
      </c>
      <c r="D2768" t="s">
        <v>14</v>
      </c>
      <c r="E2768" t="s">
        <v>90</v>
      </c>
      <c r="F2768" t="s">
        <v>5918</v>
      </c>
      <c r="G2768" t="str">
        <f>"00510415"</f>
        <v>00510415</v>
      </c>
      <c r="H2768">
        <v>10.08</v>
      </c>
      <c r="I2768">
        <v>0</v>
      </c>
      <c r="L2768">
        <v>4</v>
      </c>
      <c r="M2768">
        <v>0</v>
      </c>
      <c r="N2768">
        <v>4</v>
      </c>
      <c r="O2768">
        <v>0</v>
      </c>
      <c r="P2768">
        <v>14.08</v>
      </c>
      <c r="Q2768">
        <v>0</v>
      </c>
      <c r="R2768">
        <v>0</v>
      </c>
      <c r="S2768">
        <v>0</v>
      </c>
      <c r="T2768">
        <v>0</v>
      </c>
      <c r="U2768" s="1">
        <v>0</v>
      </c>
      <c r="V2768">
        <v>14.08</v>
      </c>
    </row>
    <row r="2769" spans="1:22" ht="15">
      <c r="A2769" s="4">
        <v>2762</v>
      </c>
      <c r="B2769">
        <v>2561</v>
      </c>
      <c r="C2769" t="s">
        <v>5919</v>
      </c>
      <c r="D2769" t="s">
        <v>173</v>
      </c>
      <c r="E2769" t="s">
        <v>11</v>
      </c>
      <c r="F2769" t="s">
        <v>5920</v>
      </c>
      <c r="G2769" t="str">
        <f>"00523668"</f>
        <v>00523668</v>
      </c>
      <c r="H2769">
        <v>0</v>
      </c>
      <c r="I2769">
        <v>0</v>
      </c>
      <c r="L2769">
        <v>4</v>
      </c>
      <c r="M2769">
        <v>4</v>
      </c>
      <c r="N2769">
        <v>4</v>
      </c>
      <c r="O2769">
        <v>0</v>
      </c>
      <c r="P2769">
        <v>8</v>
      </c>
      <c r="Q2769">
        <v>0</v>
      </c>
      <c r="R2769">
        <v>0</v>
      </c>
      <c r="S2769">
        <v>6</v>
      </c>
      <c r="T2769">
        <v>0</v>
      </c>
      <c r="U2769" s="1">
        <v>0</v>
      </c>
      <c r="V2769">
        <v>14</v>
      </c>
    </row>
    <row r="2770" spans="1:22" ht="15">
      <c r="A2770" s="4">
        <v>2763</v>
      </c>
      <c r="B2770">
        <v>2447</v>
      </c>
      <c r="C2770" t="s">
        <v>5921</v>
      </c>
      <c r="D2770" t="s">
        <v>193</v>
      </c>
      <c r="E2770" t="s">
        <v>242</v>
      </c>
      <c r="F2770" t="s">
        <v>5922</v>
      </c>
      <c r="G2770" t="str">
        <f>"201412006493"</f>
        <v>201412006493</v>
      </c>
      <c r="H2770">
        <v>0</v>
      </c>
      <c r="I2770">
        <v>10</v>
      </c>
      <c r="M2770">
        <v>4</v>
      </c>
      <c r="N2770">
        <v>0</v>
      </c>
      <c r="O2770">
        <v>0</v>
      </c>
      <c r="P2770">
        <v>14</v>
      </c>
      <c r="Q2770">
        <v>0</v>
      </c>
      <c r="R2770">
        <v>0</v>
      </c>
      <c r="S2770">
        <v>0</v>
      </c>
      <c r="T2770">
        <v>0</v>
      </c>
      <c r="U2770" s="1">
        <v>0</v>
      </c>
      <c r="V2770">
        <v>14</v>
      </c>
    </row>
    <row r="2771" spans="1:22" ht="15">
      <c r="A2771" s="4">
        <v>2764</v>
      </c>
      <c r="B2771">
        <v>2573</v>
      </c>
      <c r="C2771" t="s">
        <v>224</v>
      </c>
      <c r="D2771" t="s">
        <v>643</v>
      </c>
      <c r="E2771" t="s">
        <v>225</v>
      </c>
      <c r="F2771" t="s">
        <v>5923</v>
      </c>
      <c r="G2771" t="str">
        <f>"00510976"</f>
        <v>00510976</v>
      </c>
      <c r="H2771">
        <v>0</v>
      </c>
      <c r="I2771">
        <v>0</v>
      </c>
      <c r="L2771">
        <v>4</v>
      </c>
      <c r="M2771">
        <v>4</v>
      </c>
      <c r="N2771">
        <v>4</v>
      </c>
      <c r="O2771">
        <v>0</v>
      </c>
      <c r="P2771">
        <v>8</v>
      </c>
      <c r="Q2771">
        <v>0</v>
      </c>
      <c r="R2771">
        <v>0</v>
      </c>
      <c r="S2771">
        <v>6</v>
      </c>
      <c r="T2771">
        <v>0</v>
      </c>
      <c r="U2771" s="1">
        <v>0</v>
      </c>
      <c r="V2771">
        <v>14</v>
      </c>
    </row>
    <row r="2772" spans="1:22" ht="15">
      <c r="A2772" s="4">
        <v>2765</v>
      </c>
      <c r="B2772">
        <v>21</v>
      </c>
      <c r="C2772" t="s">
        <v>701</v>
      </c>
      <c r="D2772" t="s">
        <v>14</v>
      </c>
      <c r="E2772" t="s">
        <v>5924</v>
      </c>
      <c r="F2772" t="s">
        <v>5925</v>
      </c>
      <c r="G2772" t="str">
        <f>"00187543"</f>
        <v>00187543</v>
      </c>
      <c r="H2772">
        <v>0</v>
      </c>
      <c r="I2772">
        <v>10</v>
      </c>
      <c r="M2772">
        <v>4</v>
      </c>
      <c r="N2772">
        <v>0</v>
      </c>
      <c r="O2772">
        <v>0</v>
      </c>
      <c r="P2772">
        <v>14</v>
      </c>
      <c r="Q2772">
        <v>0</v>
      </c>
      <c r="R2772">
        <v>0</v>
      </c>
      <c r="S2772">
        <v>0</v>
      </c>
      <c r="T2772">
        <v>0</v>
      </c>
      <c r="U2772" s="1">
        <v>0</v>
      </c>
      <c r="V2772">
        <v>14</v>
      </c>
    </row>
    <row r="2773" spans="1:22" ht="15">
      <c r="A2773" s="4">
        <v>2766</v>
      </c>
      <c r="B2773">
        <v>3141</v>
      </c>
      <c r="C2773" t="s">
        <v>192</v>
      </c>
      <c r="D2773" t="s">
        <v>89</v>
      </c>
      <c r="E2773" t="s">
        <v>11</v>
      </c>
      <c r="F2773" t="s">
        <v>5926</v>
      </c>
      <c r="G2773" t="str">
        <f>"201410011039"</f>
        <v>201410011039</v>
      </c>
      <c r="H2773">
        <v>0</v>
      </c>
      <c r="I2773">
        <v>0</v>
      </c>
      <c r="L2773">
        <v>4</v>
      </c>
      <c r="M2773">
        <v>4</v>
      </c>
      <c r="N2773">
        <v>4</v>
      </c>
      <c r="O2773">
        <v>0</v>
      </c>
      <c r="P2773">
        <v>8</v>
      </c>
      <c r="Q2773">
        <v>0</v>
      </c>
      <c r="R2773">
        <v>0</v>
      </c>
      <c r="S2773">
        <v>6</v>
      </c>
      <c r="T2773">
        <v>0</v>
      </c>
      <c r="U2773" s="1">
        <v>0</v>
      </c>
      <c r="V2773">
        <v>14</v>
      </c>
    </row>
    <row r="2774" spans="1:22" ht="15">
      <c r="A2774" s="4">
        <v>2767</v>
      </c>
      <c r="B2774">
        <v>152</v>
      </c>
      <c r="C2774" t="s">
        <v>5927</v>
      </c>
      <c r="D2774" t="s">
        <v>127</v>
      </c>
      <c r="E2774" t="s">
        <v>73</v>
      </c>
      <c r="F2774" t="s">
        <v>5928</v>
      </c>
      <c r="G2774" t="str">
        <f>"00263420"</f>
        <v>00263420</v>
      </c>
      <c r="H2774">
        <v>0</v>
      </c>
      <c r="I2774">
        <v>10</v>
      </c>
      <c r="M2774">
        <v>4</v>
      </c>
      <c r="N2774">
        <v>0</v>
      </c>
      <c r="O2774">
        <v>0</v>
      </c>
      <c r="P2774">
        <v>14</v>
      </c>
      <c r="Q2774">
        <v>0</v>
      </c>
      <c r="R2774">
        <v>0</v>
      </c>
      <c r="S2774">
        <v>0</v>
      </c>
      <c r="T2774">
        <v>0</v>
      </c>
      <c r="U2774" s="1">
        <v>0</v>
      </c>
      <c r="V2774">
        <v>14</v>
      </c>
    </row>
    <row r="2775" spans="1:22" ht="15">
      <c r="A2775" s="4">
        <v>2768</v>
      </c>
      <c r="B2775">
        <v>1780</v>
      </c>
      <c r="C2775" t="s">
        <v>5929</v>
      </c>
      <c r="D2775" t="s">
        <v>330</v>
      </c>
      <c r="E2775" t="s">
        <v>317</v>
      </c>
      <c r="F2775" t="s">
        <v>5930</v>
      </c>
      <c r="G2775" t="str">
        <f>"00527953"</f>
        <v>00527953</v>
      </c>
      <c r="H2775">
        <v>0</v>
      </c>
      <c r="I2775">
        <v>0</v>
      </c>
      <c r="J2775">
        <v>8</v>
      </c>
      <c r="M2775">
        <v>0</v>
      </c>
      <c r="N2775">
        <v>8</v>
      </c>
      <c r="O2775">
        <v>0</v>
      </c>
      <c r="P2775">
        <v>8</v>
      </c>
      <c r="Q2775">
        <v>0</v>
      </c>
      <c r="R2775">
        <v>0</v>
      </c>
      <c r="S2775">
        <v>6</v>
      </c>
      <c r="T2775">
        <v>0</v>
      </c>
      <c r="U2775" s="1">
        <v>0</v>
      </c>
      <c r="V2775">
        <v>14</v>
      </c>
    </row>
    <row r="2776" spans="1:22" ht="15">
      <c r="A2776" s="4">
        <v>2769</v>
      </c>
      <c r="B2776">
        <v>1968</v>
      </c>
      <c r="C2776" t="s">
        <v>5931</v>
      </c>
      <c r="D2776" t="s">
        <v>11</v>
      </c>
      <c r="E2776" t="s">
        <v>30</v>
      </c>
      <c r="F2776" t="s">
        <v>5932</v>
      </c>
      <c r="G2776" t="str">
        <f>"00530591"</f>
        <v>00530591</v>
      </c>
      <c r="H2776">
        <v>13.76</v>
      </c>
      <c r="I2776">
        <v>0</v>
      </c>
      <c r="M2776">
        <v>0</v>
      </c>
      <c r="N2776">
        <v>0</v>
      </c>
      <c r="O2776">
        <v>0</v>
      </c>
      <c r="P2776">
        <v>13.76</v>
      </c>
      <c r="Q2776">
        <v>0</v>
      </c>
      <c r="R2776">
        <v>0</v>
      </c>
      <c r="S2776">
        <v>0</v>
      </c>
      <c r="T2776">
        <v>0</v>
      </c>
      <c r="U2776" s="1">
        <v>0</v>
      </c>
      <c r="V2776">
        <v>13.76</v>
      </c>
    </row>
    <row r="2777" spans="1:22" ht="15">
      <c r="A2777" s="4">
        <v>2770</v>
      </c>
      <c r="B2777">
        <v>2110</v>
      </c>
      <c r="C2777" t="s">
        <v>1219</v>
      </c>
      <c r="D2777" t="s">
        <v>127</v>
      </c>
      <c r="E2777" t="s">
        <v>447</v>
      </c>
      <c r="F2777" t="s">
        <v>5933</v>
      </c>
      <c r="G2777" t="str">
        <f>"00377170"</f>
        <v>00377170</v>
      </c>
      <c r="H2777">
        <v>7.64</v>
      </c>
      <c r="I2777">
        <v>0</v>
      </c>
      <c r="M2777">
        <v>0</v>
      </c>
      <c r="N2777">
        <v>0</v>
      </c>
      <c r="O2777">
        <v>0</v>
      </c>
      <c r="P2777">
        <v>7.64</v>
      </c>
      <c r="Q2777">
        <v>0</v>
      </c>
      <c r="R2777">
        <v>0</v>
      </c>
      <c r="S2777">
        <v>6</v>
      </c>
      <c r="T2777">
        <v>0</v>
      </c>
      <c r="U2777" s="1">
        <v>0</v>
      </c>
      <c r="V2777">
        <v>13.64</v>
      </c>
    </row>
    <row r="2778" spans="1:22" ht="15">
      <c r="A2778" s="4">
        <v>2771</v>
      </c>
      <c r="B2778">
        <v>693</v>
      </c>
      <c r="C2778" t="s">
        <v>5934</v>
      </c>
      <c r="D2778" t="s">
        <v>5935</v>
      </c>
      <c r="E2778" t="s">
        <v>1180</v>
      </c>
      <c r="F2778" t="s">
        <v>5936</v>
      </c>
      <c r="G2778" t="str">
        <f>"00530162"</f>
        <v>00530162</v>
      </c>
      <c r="H2778">
        <v>13.44</v>
      </c>
      <c r="I2778">
        <v>0</v>
      </c>
      <c r="M2778">
        <v>0</v>
      </c>
      <c r="N2778">
        <v>0</v>
      </c>
      <c r="O2778">
        <v>0</v>
      </c>
      <c r="P2778">
        <v>13.44</v>
      </c>
      <c r="Q2778">
        <v>0</v>
      </c>
      <c r="R2778">
        <v>0</v>
      </c>
      <c r="S2778">
        <v>0</v>
      </c>
      <c r="T2778">
        <v>0</v>
      </c>
      <c r="U2778" s="1">
        <v>0</v>
      </c>
      <c r="V2778">
        <v>13.44</v>
      </c>
    </row>
    <row r="2779" spans="1:22" ht="15">
      <c r="A2779" s="4">
        <v>2772</v>
      </c>
      <c r="B2779">
        <v>2822</v>
      </c>
      <c r="C2779" t="s">
        <v>5937</v>
      </c>
      <c r="D2779" t="s">
        <v>1034</v>
      </c>
      <c r="E2779" t="s">
        <v>83</v>
      </c>
      <c r="F2779" t="s">
        <v>5938</v>
      </c>
      <c r="G2779" t="str">
        <f>"00533916"</f>
        <v>00533916</v>
      </c>
      <c r="H2779">
        <v>7.2</v>
      </c>
      <c r="I2779">
        <v>0</v>
      </c>
      <c r="M2779">
        <v>0</v>
      </c>
      <c r="N2779">
        <v>0</v>
      </c>
      <c r="O2779">
        <v>0</v>
      </c>
      <c r="P2779">
        <v>7.2</v>
      </c>
      <c r="Q2779">
        <v>0</v>
      </c>
      <c r="R2779">
        <v>0</v>
      </c>
      <c r="S2779">
        <v>6</v>
      </c>
      <c r="T2779">
        <v>0</v>
      </c>
      <c r="U2779" s="1">
        <v>0</v>
      </c>
      <c r="V2779">
        <v>13.2</v>
      </c>
    </row>
    <row r="2780" spans="1:22" ht="15">
      <c r="A2780" s="4">
        <v>2773</v>
      </c>
      <c r="B2780">
        <v>3299</v>
      </c>
      <c r="C2780" t="s">
        <v>5939</v>
      </c>
      <c r="D2780" t="s">
        <v>5940</v>
      </c>
      <c r="E2780" t="s">
        <v>73</v>
      </c>
      <c r="F2780" t="s">
        <v>5941</v>
      </c>
      <c r="G2780" t="str">
        <f>"00271946"</f>
        <v>00271946</v>
      </c>
      <c r="H2780">
        <v>7.2</v>
      </c>
      <c r="I2780">
        <v>0</v>
      </c>
      <c r="M2780">
        <v>0</v>
      </c>
      <c r="N2780">
        <v>0</v>
      </c>
      <c r="O2780">
        <v>0</v>
      </c>
      <c r="P2780">
        <v>7.2</v>
      </c>
      <c r="Q2780">
        <v>0</v>
      </c>
      <c r="R2780">
        <v>0</v>
      </c>
      <c r="S2780">
        <v>6</v>
      </c>
      <c r="T2780">
        <v>0</v>
      </c>
      <c r="U2780" s="1">
        <v>0</v>
      </c>
      <c r="V2780">
        <v>13.2</v>
      </c>
    </row>
    <row r="2781" spans="1:22" ht="15">
      <c r="A2781" s="4">
        <v>2774</v>
      </c>
      <c r="B2781">
        <v>1183</v>
      </c>
      <c r="C2781" t="s">
        <v>5942</v>
      </c>
      <c r="D2781" t="s">
        <v>93</v>
      </c>
      <c r="E2781" t="s">
        <v>225</v>
      </c>
      <c r="F2781" t="s">
        <v>5943</v>
      </c>
      <c r="G2781" t="str">
        <f>"00439398"</f>
        <v>00439398</v>
      </c>
      <c r="H2781">
        <v>7.2</v>
      </c>
      <c r="I2781">
        <v>0</v>
      </c>
      <c r="M2781">
        <v>0</v>
      </c>
      <c r="N2781">
        <v>0</v>
      </c>
      <c r="O2781">
        <v>0</v>
      </c>
      <c r="P2781">
        <v>7.2</v>
      </c>
      <c r="Q2781">
        <v>0</v>
      </c>
      <c r="R2781">
        <v>0</v>
      </c>
      <c r="S2781">
        <v>6</v>
      </c>
      <c r="T2781">
        <v>0</v>
      </c>
      <c r="U2781" s="1">
        <v>0</v>
      </c>
      <c r="V2781">
        <v>13.2</v>
      </c>
    </row>
    <row r="2782" spans="1:22" ht="15">
      <c r="A2782" s="4">
        <v>2775</v>
      </c>
      <c r="B2782">
        <v>2931</v>
      </c>
      <c r="C2782" t="s">
        <v>5944</v>
      </c>
      <c r="D2782" t="s">
        <v>5945</v>
      </c>
      <c r="E2782" t="s">
        <v>5946</v>
      </c>
      <c r="F2782" t="s">
        <v>5947</v>
      </c>
      <c r="G2782" t="str">
        <f>"00151942"</f>
        <v>00151942</v>
      </c>
      <c r="H2782">
        <v>7.2</v>
      </c>
      <c r="I2782">
        <v>0</v>
      </c>
      <c r="M2782">
        <v>4</v>
      </c>
      <c r="N2782">
        <v>0</v>
      </c>
      <c r="O2782">
        <v>0</v>
      </c>
      <c r="P2782">
        <v>11.2</v>
      </c>
      <c r="Q2782">
        <v>2</v>
      </c>
      <c r="R2782">
        <v>2</v>
      </c>
      <c r="S2782">
        <v>0</v>
      </c>
      <c r="T2782">
        <v>0</v>
      </c>
      <c r="U2782" s="1">
        <v>0</v>
      </c>
      <c r="V2782">
        <v>13.2</v>
      </c>
    </row>
    <row r="2783" spans="1:22" ht="15">
      <c r="A2783" s="4">
        <v>2776</v>
      </c>
      <c r="B2783">
        <v>1185</v>
      </c>
      <c r="C2783" t="s">
        <v>5948</v>
      </c>
      <c r="D2783" t="s">
        <v>5949</v>
      </c>
      <c r="E2783" t="s">
        <v>972</v>
      </c>
      <c r="F2783" t="s">
        <v>5950</v>
      </c>
      <c r="G2783" t="str">
        <f>"201510002077"</f>
        <v>201510002077</v>
      </c>
      <c r="H2783">
        <v>0</v>
      </c>
      <c r="I2783">
        <v>10</v>
      </c>
      <c r="M2783">
        <v>0</v>
      </c>
      <c r="N2783">
        <v>0</v>
      </c>
      <c r="O2783">
        <v>0</v>
      </c>
      <c r="P2783">
        <v>10</v>
      </c>
      <c r="Q2783">
        <v>0</v>
      </c>
      <c r="R2783">
        <v>0</v>
      </c>
      <c r="S2783">
        <v>3</v>
      </c>
      <c r="T2783">
        <v>0</v>
      </c>
      <c r="U2783" s="1">
        <v>0</v>
      </c>
      <c r="V2783">
        <v>13</v>
      </c>
    </row>
    <row r="2784" spans="1:22" ht="15">
      <c r="A2784" s="4">
        <v>2777</v>
      </c>
      <c r="B2784">
        <v>599</v>
      </c>
      <c r="C2784" t="s">
        <v>5951</v>
      </c>
      <c r="D2784" t="s">
        <v>121</v>
      </c>
      <c r="E2784" t="s">
        <v>47</v>
      </c>
      <c r="F2784" t="s">
        <v>5952</v>
      </c>
      <c r="G2784" t="str">
        <f>"00525567"</f>
        <v>00525567</v>
      </c>
      <c r="H2784">
        <v>0</v>
      </c>
      <c r="I2784">
        <v>0</v>
      </c>
      <c r="M2784">
        <v>4</v>
      </c>
      <c r="N2784">
        <v>0</v>
      </c>
      <c r="O2784">
        <v>0</v>
      </c>
      <c r="P2784">
        <v>4</v>
      </c>
      <c r="Q2784">
        <v>0</v>
      </c>
      <c r="R2784">
        <v>0</v>
      </c>
      <c r="S2784">
        <v>9</v>
      </c>
      <c r="T2784">
        <v>0</v>
      </c>
      <c r="U2784" s="1">
        <v>0</v>
      </c>
      <c r="V2784">
        <v>13</v>
      </c>
    </row>
    <row r="2785" spans="1:22" ht="15">
      <c r="A2785" s="4">
        <v>2778</v>
      </c>
      <c r="B2785">
        <v>2746</v>
      </c>
      <c r="C2785" t="s">
        <v>2315</v>
      </c>
      <c r="D2785" t="s">
        <v>14</v>
      </c>
      <c r="E2785" t="s">
        <v>90</v>
      </c>
      <c r="F2785" t="s">
        <v>5953</v>
      </c>
      <c r="G2785" t="str">
        <f>"00533025"</f>
        <v>00533025</v>
      </c>
      <c r="H2785">
        <v>0</v>
      </c>
      <c r="I2785">
        <v>0</v>
      </c>
      <c r="M2785">
        <v>0</v>
      </c>
      <c r="N2785">
        <v>0</v>
      </c>
      <c r="O2785">
        <v>0</v>
      </c>
      <c r="P2785">
        <v>0</v>
      </c>
      <c r="Q2785">
        <v>7</v>
      </c>
      <c r="R2785">
        <v>7</v>
      </c>
      <c r="S2785">
        <v>6</v>
      </c>
      <c r="T2785">
        <v>0</v>
      </c>
      <c r="U2785" s="1">
        <v>0</v>
      </c>
      <c r="V2785">
        <v>13</v>
      </c>
    </row>
    <row r="2786" spans="1:22" ht="15">
      <c r="A2786" s="4">
        <v>2779</v>
      </c>
      <c r="B2786">
        <v>680</v>
      </c>
      <c r="C2786" t="s">
        <v>5954</v>
      </c>
      <c r="D2786" t="s">
        <v>621</v>
      </c>
      <c r="E2786" t="s">
        <v>83</v>
      </c>
      <c r="F2786" t="s">
        <v>5955</v>
      </c>
      <c r="G2786" t="str">
        <f>"00441690"</f>
        <v>00441690</v>
      </c>
      <c r="H2786">
        <v>0</v>
      </c>
      <c r="I2786">
        <v>0</v>
      </c>
      <c r="L2786">
        <v>4</v>
      </c>
      <c r="M2786">
        <v>4</v>
      </c>
      <c r="N2786">
        <v>4</v>
      </c>
      <c r="O2786">
        <v>0</v>
      </c>
      <c r="P2786">
        <v>8</v>
      </c>
      <c r="Q2786">
        <v>5</v>
      </c>
      <c r="R2786">
        <v>5</v>
      </c>
      <c r="S2786">
        <v>0</v>
      </c>
      <c r="T2786">
        <v>0</v>
      </c>
      <c r="U2786" s="1">
        <v>0</v>
      </c>
      <c r="V2786">
        <v>13</v>
      </c>
    </row>
    <row r="2787" spans="1:22" ht="15">
      <c r="A2787" s="4">
        <v>2780</v>
      </c>
      <c r="B2787">
        <v>1561</v>
      </c>
      <c r="C2787" t="s">
        <v>5956</v>
      </c>
      <c r="D2787" t="s">
        <v>1492</v>
      </c>
      <c r="E2787" t="s">
        <v>11</v>
      </c>
      <c r="F2787" t="s">
        <v>5957</v>
      </c>
      <c r="G2787" t="str">
        <f>"00257970"</f>
        <v>00257970</v>
      </c>
      <c r="H2787">
        <v>6.4</v>
      </c>
      <c r="I2787">
        <v>0</v>
      </c>
      <c r="M2787">
        <v>0</v>
      </c>
      <c r="N2787">
        <v>0</v>
      </c>
      <c r="O2787">
        <v>0</v>
      </c>
      <c r="P2787">
        <v>6.4</v>
      </c>
      <c r="Q2787">
        <v>0</v>
      </c>
      <c r="R2787">
        <v>0</v>
      </c>
      <c r="S2787">
        <v>6</v>
      </c>
      <c r="T2787">
        <v>0</v>
      </c>
      <c r="U2787" s="1">
        <v>0</v>
      </c>
      <c r="V2787">
        <v>12.4</v>
      </c>
    </row>
    <row r="2788" spans="1:22" ht="15">
      <c r="A2788" s="4">
        <v>2781</v>
      </c>
      <c r="B2788">
        <v>1593</v>
      </c>
      <c r="C2788" t="s">
        <v>5958</v>
      </c>
      <c r="D2788" t="s">
        <v>156</v>
      </c>
      <c r="E2788" t="s">
        <v>59</v>
      </c>
      <c r="F2788" t="s">
        <v>5959</v>
      </c>
      <c r="G2788" t="str">
        <f>"00514547"</f>
        <v>00514547</v>
      </c>
      <c r="H2788">
        <v>12.32</v>
      </c>
      <c r="I2788">
        <v>0</v>
      </c>
      <c r="M2788">
        <v>0</v>
      </c>
      <c r="N2788">
        <v>0</v>
      </c>
      <c r="O2788">
        <v>0</v>
      </c>
      <c r="P2788">
        <v>12.32</v>
      </c>
      <c r="Q2788">
        <v>0</v>
      </c>
      <c r="R2788">
        <v>0</v>
      </c>
      <c r="S2788">
        <v>0</v>
      </c>
      <c r="T2788">
        <v>0</v>
      </c>
      <c r="U2788" s="1">
        <v>0</v>
      </c>
      <c r="V2788">
        <v>12.32</v>
      </c>
    </row>
    <row r="2789" spans="1:22" ht="15">
      <c r="A2789" s="4">
        <v>2782</v>
      </c>
      <c r="B2789">
        <v>2628</v>
      </c>
      <c r="C2789" t="s">
        <v>5960</v>
      </c>
      <c r="D2789" t="s">
        <v>1608</v>
      </c>
      <c r="E2789" t="s">
        <v>90</v>
      </c>
      <c r="F2789" t="s">
        <v>5961</v>
      </c>
      <c r="G2789" t="str">
        <f>"201402012510"</f>
        <v>201402012510</v>
      </c>
      <c r="H2789">
        <v>12.24</v>
      </c>
      <c r="I2789">
        <v>0</v>
      </c>
      <c r="M2789">
        <v>0</v>
      </c>
      <c r="N2789">
        <v>0</v>
      </c>
      <c r="O2789">
        <v>0</v>
      </c>
      <c r="P2789">
        <v>12.24</v>
      </c>
      <c r="Q2789">
        <v>0</v>
      </c>
      <c r="R2789">
        <v>0</v>
      </c>
      <c r="S2789">
        <v>0</v>
      </c>
      <c r="T2789">
        <v>0</v>
      </c>
      <c r="U2789" s="1">
        <v>0</v>
      </c>
      <c r="V2789">
        <v>12.24</v>
      </c>
    </row>
    <row r="2790" spans="1:22" ht="15">
      <c r="A2790" s="4">
        <v>2783</v>
      </c>
      <c r="B2790">
        <v>1972</v>
      </c>
      <c r="C2790" t="s">
        <v>5962</v>
      </c>
      <c r="D2790" t="s">
        <v>2450</v>
      </c>
      <c r="E2790" t="s">
        <v>514</v>
      </c>
      <c r="F2790" t="s">
        <v>5963</v>
      </c>
      <c r="G2790" t="str">
        <f>"00498358"</f>
        <v>00498358</v>
      </c>
      <c r="H2790">
        <v>7.2</v>
      </c>
      <c r="I2790">
        <v>0</v>
      </c>
      <c r="M2790">
        <v>4</v>
      </c>
      <c r="N2790">
        <v>0</v>
      </c>
      <c r="O2790">
        <v>0</v>
      </c>
      <c r="P2790">
        <v>11.2</v>
      </c>
      <c r="Q2790">
        <v>1</v>
      </c>
      <c r="R2790">
        <v>1</v>
      </c>
      <c r="S2790">
        <v>0</v>
      </c>
      <c r="T2790">
        <v>0</v>
      </c>
      <c r="U2790" s="1">
        <v>0</v>
      </c>
      <c r="V2790">
        <v>12.2</v>
      </c>
    </row>
    <row r="2791" spans="1:22" ht="15">
      <c r="A2791" s="4">
        <v>2784</v>
      </c>
      <c r="B2791">
        <v>2656</v>
      </c>
      <c r="C2791" t="s">
        <v>5964</v>
      </c>
      <c r="D2791" t="s">
        <v>5965</v>
      </c>
      <c r="E2791" t="s">
        <v>23</v>
      </c>
      <c r="F2791" t="s">
        <v>5966</v>
      </c>
      <c r="G2791" t="str">
        <f>"00513741"</f>
        <v>00513741</v>
      </c>
      <c r="H2791">
        <v>4</v>
      </c>
      <c r="I2791">
        <v>0</v>
      </c>
      <c r="L2791">
        <v>4</v>
      </c>
      <c r="M2791">
        <v>4</v>
      </c>
      <c r="N2791">
        <v>4</v>
      </c>
      <c r="O2791">
        <v>0</v>
      </c>
      <c r="P2791">
        <v>12</v>
      </c>
      <c r="Q2791">
        <v>0</v>
      </c>
      <c r="R2791">
        <v>0</v>
      </c>
      <c r="S2791">
        <v>0</v>
      </c>
      <c r="T2791">
        <v>0</v>
      </c>
      <c r="U2791" s="1">
        <v>0</v>
      </c>
      <c r="V2791">
        <v>12</v>
      </c>
    </row>
    <row r="2792" spans="1:22" ht="15">
      <c r="A2792" s="4">
        <v>2785</v>
      </c>
      <c r="B2792">
        <v>2757</v>
      </c>
      <c r="C2792" t="s">
        <v>1478</v>
      </c>
      <c r="D2792" t="s">
        <v>280</v>
      </c>
      <c r="E2792" t="s">
        <v>447</v>
      </c>
      <c r="F2792" t="s">
        <v>5967</v>
      </c>
      <c r="G2792" t="str">
        <f>"00230441"</f>
        <v>00230441</v>
      </c>
      <c r="H2792">
        <v>0</v>
      </c>
      <c r="I2792">
        <v>0</v>
      </c>
      <c r="L2792">
        <v>4</v>
      </c>
      <c r="M2792">
        <v>0</v>
      </c>
      <c r="N2792">
        <v>4</v>
      </c>
      <c r="O2792">
        <v>0</v>
      </c>
      <c r="P2792">
        <v>4</v>
      </c>
      <c r="Q2792">
        <v>2</v>
      </c>
      <c r="R2792">
        <v>2</v>
      </c>
      <c r="S2792">
        <v>6</v>
      </c>
      <c r="T2792">
        <v>0</v>
      </c>
      <c r="U2792" s="1">
        <v>0</v>
      </c>
      <c r="V2792">
        <v>12</v>
      </c>
    </row>
    <row r="2793" spans="1:22" ht="15">
      <c r="A2793" s="4">
        <v>2786</v>
      </c>
      <c r="B2793">
        <v>753</v>
      </c>
      <c r="C2793" t="s">
        <v>5968</v>
      </c>
      <c r="D2793" t="s">
        <v>89</v>
      </c>
      <c r="E2793" t="s">
        <v>317</v>
      </c>
      <c r="F2793" t="s">
        <v>5969</v>
      </c>
      <c r="G2793" t="str">
        <f>"00524832"</f>
        <v>00524832</v>
      </c>
      <c r="H2793">
        <v>0</v>
      </c>
      <c r="I2793">
        <v>0</v>
      </c>
      <c r="J2793">
        <v>8</v>
      </c>
      <c r="M2793">
        <v>4</v>
      </c>
      <c r="N2793">
        <v>8</v>
      </c>
      <c r="O2793">
        <v>0</v>
      </c>
      <c r="P2793">
        <v>12</v>
      </c>
      <c r="Q2793">
        <v>0</v>
      </c>
      <c r="R2793">
        <v>0</v>
      </c>
      <c r="S2793">
        <v>0</v>
      </c>
      <c r="T2793">
        <v>0</v>
      </c>
      <c r="U2793" s="1">
        <v>0</v>
      </c>
      <c r="V2793">
        <v>12</v>
      </c>
    </row>
    <row r="2794" spans="1:22" ht="15">
      <c r="A2794" s="4">
        <v>2787</v>
      </c>
      <c r="B2794">
        <v>1953</v>
      </c>
      <c r="C2794" t="s">
        <v>5970</v>
      </c>
      <c r="D2794" t="s">
        <v>3150</v>
      </c>
      <c r="E2794" t="s">
        <v>19</v>
      </c>
      <c r="F2794" t="s">
        <v>5971</v>
      </c>
      <c r="G2794" t="str">
        <f>"201406004313"</f>
        <v>201406004313</v>
      </c>
      <c r="H2794">
        <v>0</v>
      </c>
      <c r="I2794">
        <v>0</v>
      </c>
      <c r="M2794">
        <v>0</v>
      </c>
      <c r="N2794">
        <v>0</v>
      </c>
      <c r="O2794">
        <v>2</v>
      </c>
      <c r="P2794">
        <v>2</v>
      </c>
      <c r="Q2794">
        <v>4</v>
      </c>
      <c r="R2794">
        <v>4</v>
      </c>
      <c r="S2794">
        <v>6</v>
      </c>
      <c r="T2794">
        <v>0</v>
      </c>
      <c r="U2794" s="1">
        <v>0</v>
      </c>
      <c r="V2794">
        <v>12</v>
      </c>
    </row>
    <row r="2795" spans="1:22" ht="15">
      <c r="A2795" s="4">
        <v>2788</v>
      </c>
      <c r="B2795">
        <v>2709</v>
      </c>
      <c r="C2795" t="s">
        <v>5972</v>
      </c>
      <c r="D2795" t="s">
        <v>14</v>
      </c>
      <c r="E2795" t="s">
        <v>51</v>
      </c>
      <c r="F2795" t="s">
        <v>5973</v>
      </c>
      <c r="G2795" t="str">
        <f>"00532142"</f>
        <v>00532142</v>
      </c>
      <c r="H2795">
        <v>7.2</v>
      </c>
      <c r="I2795">
        <v>0</v>
      </c>
      <c r="M2795">
        <v>0</v>
      </c>
      <c r="N2795">
        <v>0</v>
      </c>
      <c r="O2795">
        <v>0</v>
      </c>
      <c r="P2795">
        <v>7.2</v>
      </c>
      <c r="Q2795">
        <v>4</v>
      </c>
      <c r="R2795">
        <v>4</v>
      </c>
      <c r="S2795">
        <v>0</v>
      </c>
      <c r="T2795">
        <v>0</v>
      </c>
      <c r="U2795" s="1">
        <v>0</v>
      </c>
      <c r="V2795">
        <v>11.2</v>
      </c>
    </row>
    <row r="2796" spans="1:22" ht="15">
      <c r="A2796" s="4">
        <v>2789</v>
      </c>
      <c r="B2796">
        <v>1624</v>
      </c>
      <c r="C2796" t="s">
        <v>5974</v>
      </c>
      <c r="D2796" t="s">
        <v>29</v>
      </c>
      <c r="E2796" t="s">
        <v>4213</v>
      </c>
      <c r="F2796" t="s">
        <v>5975</v>
      </c>
      <c r="G2796" t="str">
        <f>"00531414"</f>
        <v>00531414</v>
      </c>
      <c r="H2796">
        <v>7.2</v>
      </c>
      <c r="I2796">
        <v>0</v>
      </c>
      <c r="M2796">
        <v>4</v>
      </c>
      <c r="N2796">
        <v>0</v>
      </c>
      <c r="O2796">
        <v>0</v>
      </c>
      <c r="P2796">
        <v>11.2</v>
      </c>
      <c r="Q2796">
        <v>0</v>
      </c>
      <c r="R2796">
        <v>0</v>
      </c>
      <c r="S2796">
        <v>0</v>
      </c>
      <c r="T2796">
        <v>0</v>
      </c>
      <c r="U2796" s="1">
        <v>0</v>
      </c>
      <c r="V2796">
        <v>11.2</v>
      </c>
    </row>
    <row r="2797" spans="1:22" ht="15">
      <c r="A2797" s="4">
        <v>2790</v>
      </c>
      <c r="B2797">
        <v>2049</v>
      </c>
      <c r="C2797" t="s">
        <v>5976</v>
      </c>
      <c r="D2797" t="s">
        <v>14</v>
      </c>
      <c r="E2797" t="s">
        <v>19</v>
      </c>
      <c r="F2797" t="s">
        <v>5977</v>
      </c>
      <c r="G2797" t="str">
        <f>"00508184"</f>
        <v>00508184</v>
      </c>
      <c r="H2797">
        <v>7.2</v>
      </c>
      <c r="I2797">
        <v>0</v>
      </c>
      <c r="L2797">
        <v>4</v>
      </c>
      <c r="M2797">
        <v>0</v>
      </c>
      <c r="N2797">
        <v>4</v>
      </c>
      <c r="O2797">
        <v>0</v>
      </c>
      <c r="P2797">
        <v>11.2</v>
      </c>
      <c r="Q2797">
        <v>0</v>
      </c>
      <c r="R2797">
        <v>0</v>
      </c>
      <c r="S2797">
        <v>0</v>
      </c>
      <c r="T2797">
        <v>0</v>
      </c>
      <c r="U2797" s="1">
        <v>0</v>
      </c>
      <c r="V2797">
        <v>11.2</v>
      </c>
    </row>
    <row r="2798" spans="1:22" ht="15">
      <c r="A2798" s="4">
        <v>2791</v>
      </c>
      <c r="B2798">
        <v>1819</v>
      </c>
      <c r="C2798" t="s">
        <v>5978</v>
      </c>
      <c r="D2798" t="s">
        <v>58</v>
      </c>
      <c r="E2798" t="s">
        <v>225</v>
      </c>
      <c r="F2798" t="s">
        <v>5979</v>
      </c>
      <c r="G2798" t="str">
        <f>"00529175"</f>
        <v>00529175</v>
      </c>
      <c r="H2798">
        <v>7.2</v>
      </c>
      <c r="I2798">
        <v>0</v>
      </c>
      <c r="M2798">
        <v>4</v>
      </c>
      <c r="N2798">
        <v>0</v>
      </c>
      <c r="O2798">
        <v>0</v>
      </c>
      <c r="P2798">
        <v>11.2</v>
      </c>
      <c r="Q2798">
        <v>0</v>
      </c>
      <c r="R2798">
        <v>0</v>
      </c>
      <c r="S2798">
        <v>0</v>
      </c>
      <c r="T2798">
        <v>0</v>
      </c>
      <c r="U2798" s="1">
        <v>0</v>
      </c>
      <c r="V2798">
        <v>11.2</v>
      </c>
    </row>
    <row r="2799" spans="1:22" ht="15">
      <c r="A2799" s="4">
        <v>2792</v>
      </c>
      <c r="B2799">
        <v>1193</v>
      </c>
      <c r="C2799" t="s">
        <v>3495</v>
      </c>
      <c r="D2799" t="s">
        <v>5980</v>
      </c>
      <c r="E2799" t="s">
        <v>19</v>
      </c>
      <c r="F2799" t="s">
        <v>5981</v>
      </c>
      <c r="G2799" t="str">
        <f>"00526205"</f>
        <v>00526205</v>
      </c>
      <c r="H2799">
        <v>7.2</v>
      </c>
      <c r="I2799">
        <v>0</v>
      </c>
      <c r="L2799">
        <v>4</v>
      </c>
      <c r="M2799">
        <v>0</v>
      </c>
      <c r="N2799">
        <v>4</v>
      </c>
      <c r="O2799">
        <v>0</v>
      </c>
      <c r="P2799">
        <v>11.2</v>
      </c>
      <c r="Q2799">
        <v>0</v>
      </c>
      <c r="R2799">
        <v>0</v>
      </c>
      <c r="S2799">
        <v>0</v>
      </c>
      <c r="T2799">
        <v>0</v>
      </c>
      <c r="U2799" s="1">
        <v>0</v>
      </c>
      <c r="V2799">
        <v>11.2</v>
      </c>
    </row>
    <row r="2800" spans="1:22" ht="15">
      <c r="A2800" s="4">
        <v>2793</v>
      </c>
      <c r="B2800">
        <v>3354</v>
      </c>
      <c r="C2800" t="s">
        <v>2300</v>
      </c>
      <c r="D2800" t="s">
        <v>127</v>
      </c>
      <c r="E2800" t="s">
        <v>83</v>
      </c>
      <c r="F2800" t="s">
        <v>5982</v>
      </c>
      <c r="G2800" t="str">
        <f>"00112130"</f>
        <v>00112130</v>
      </c>
      <c r="H2800">
        <v>7.2</v>
      </c>
      <c r="I2800">
        <v>0</v>
      </c>
      <c r="M2800">
        <v>4</v>
      </c>
      <c r="N2800">
        <v>0</v>
      </c>
      <c r="O2800">
        <v>0</v>
      </c>
      <c r="P2800">
        <v>11.2</v>
      </c>
      <c r="Q2800">
        <v>0</v>
      </c>
      <c r="R2800">
        <v>0</v>
      </c>
      <c r="S2800">
        <v>0</v>
      </c>
      <c r="T2800">
        <v>0</v>
      </c>
      <c r="U2800" s="1">
        <v>0</v>
      </c>
      <c r="V2800">
        <v>11.2</v>
      </c>
    </row>
    <row r="2801" spans="1:22" ht="15">
      <c r="A2801" s="4">
        <v>2794</v>
      </c>
      <c r="B2801">
        <v>2492</v>
      </c>
      <c r="C2801" t="s">
        <v>5983</v>
      </c>
      <c r="D2801" t="s">
        <v>1697</v>
      </c>
      <c r="E2801" t="s">
        <v>90</v>
      </c>
      <c r="F2801" t="s">
        <v>5984</v>
      </c>
      <c r="G2801" t="str">
        <f>"00532194"</f>
        <v>00532194</v>
      </c>
      <c r="H2801">
        <v>7.2</v>
      </c>
      <c r="I2801">
        <v>0</v>
      </c>
      <c r="L2801">
        <v>4</v>
      </c>
      <c r="M2801">
        <v>0</v>
      </c>
      <c r="N2801">
        <v>4</v>
      </c>
      <c r="O2801">
        <v>0</v>
      </c>
      <c r="P2801">
        <v>11.2</v>
      </c>
      <c r="Q2801">
        <v>0</v>
      </c>
      <c r="R2801">
        <v>0</v>
      </c>
      <c r="S2801">
        <v>0</v>
      </c>
      <c r="T2801">
        <v>0</v>
      </c>
      <c r="U2801" s="1">
        <v>0</v>
      </c>
      <c r="V2801">
        <v>11.2</v>
      </c>
    </row>
    <row r="2802" spans="1:22" ht="15">
      <c r="A2802" s="4">
        <v>2795</v>
      </c>
      <c r="B2802">
        <v>2005</v>
      </c>
      <c r="C2802" t="s">
        <v>5985</v>
      </c>
      <c r="D2802" t="s">
        <v>640</v>
      </c>
      <c r="E2802" t="s">
        <v>47</v>
      </c>
      <c r="F2802" t="s">
        <v>5986</v>
      </c>
      <c r="G2802" t="str">
        <f>"201511026110"</f>
        <v>201511026110</v>
      </c>
      <c r="H2802">
        <v>7.2</v>
      </c>
      <c r="I2802">
        <v>0</v>
      </c>
      <c r="M2802">
        <v>4</v>
      </c>
      <c r="N2802">
        <v>0</v>
      </c>
      <c r="O2802">
        <v>0</v>
      </c>
      <c r="P2802">
        <v>11.2</v>
      </c>
      <c r="Q2802">
        <v>0</v>
      </c>
      <c r="R2802">
        <v>0</v>
      </c>
      <c r="S2802">
        <v>0</v>
      </c>
      <c r="T2802">
        <v>0</v>
      </c>
      <c r="U2802" s="1">
        <v>0</v>
      </c>
      <c r="V2802">
        <v>11.2</v>
      </c>
    </row>
    <row r="2803" spans="1:22" ht="15">
      <c r="A2803" s="4">
        <v>2796</v>
      </c>
      <c r="B2803">
        <v>1939</v>
      </c>
      <c r="C2803" t="s">
        <v>5987</v>
      </c>
      <c r="D2803" t="s">
        <v>40</v>
      </c>
      <c r="E2803" t="s">
        <v>11</v>
      </c>
      <c r="F2803" t="s">
        <v>5988</v>
      </c>
      <c r="G2803" t="str">
        <f>"00148147"</f>
        <v>00148147</v>
      </c>
      <c r="H2803">
        <v>7.2</v>
      </c>
      <c r="I2803">
        <v>0</v>
      </c>
      <c r="M2803">
        <v>4</v>
      </c>
      <c r="N2803">
        <v>0</v>
      </c>
      <c r="O2803">
        <v>0</v>
      </c>
      <c r="P2803">
        <v>11.2</v>
      </c>
      <c r="Q2803">
        <v>0</v>
      </c>
      <c r="R2803">
        <v>0</v>
      </c>
      <c r="S2803">
        <v>0</v>
      </c>
      <c r="T2803">
        <v>0</v>
      </c>
      <c r="U2803" s="1">
        <v>0</v>
      </c>
      <c r="V2803">
        <v>11.2</v>
      </c>
    </row>
    <row r="2804" spans="1:22" ht="15">
      <c r="A2804" s="4">
        <v>2797</v>
      </c>
      <c r="B2804">
        <v>2584</v>
      </c>
      <c r="C2804" t="s">
        <v>5989</v>
      </c>
      <c r="D2804" t="s">
        <v>121</v>
      </c>
      <c r="E2804" t="s">
        <v>23</v>
      </c>
      <c r="F2804" t="s">
        <v>5990</v>
      </c>
      <c r="G2804" t="str">
        <f>"00532676"</f>
        <v>00532676</v>
      </c>
      <c r="H2804">
        <v>7.2</v>
      </c>
      <c r="I2804">
        <v>0</v>
      </c>
      <c r="M2804">
        <v>4</v>
      </c>
      <c r="N2804">
        <v>0</v>
      </c>
      <c r="O2804">
        <v>0</v>
      </c>
      <c r="P2804">
        <v>11.2</v>
      </c>
      <c r="Q2804">
        <v>0</v>
      </c>
      <c r="R2804">
        <v>0</v>
      </c>
      <c r="S2804">
        <v>0</v>
      </c>
      <c r="T2804">
        <v>0</v>
      </c>
      <c r="U2804" s="1">
        <v>0</v>
      </c>
      <c r="V2804">
        <v>11.2</v>
      </c>
    </row>
    <row r="2805" spans="1:22" ht="15">
      <c r="A2805" s="4">
        <v>2798</v>
      </c>
      <c r="B2805">
        <v>181</v>
      </c>
      <c r="C2805" t="s">
        <v>5991</v>
      </c>
      <c r="D2805" t="s">
        <v>76</v>
      </c>
      <c r="E2805" t="s">
        <v>317</v>
      </c>
      <c r="F2805" t="s">
        <v>5992</v>
      </c>
      <c r="G2805" t="str">
        <f>"00531182"</f>
        <v>00531182</v>
      </c>
      <c r="H2805">
        <v>7.2</v>
      </c>
      <c r="I2805">
        <v>0</v>
      </c>
      <c r="M2805">
        <v>4</v>
      </c>
      <c r="N2805">
        <v>0</v>
      </c>
      <c r="O2805">
        <v>0</v>
      </c>
      <c r="P2805">
        <v>11.2</v>
      </c>
      <c r="Q2805">
        <v>0</v>
      </c>
      <c r="R2805">
        <v>0</v>
      </c>
      <c r="S2805">
        <v>0</v>
      </c>
      <c r="T2805">
        <v>0</v>
      </c>
      <c r="U2805" s="1">
        <v>0</v>
      </c>
      <c r="V2805">
        <v>11.2</v>
      </c>
    </row>
    <row r="2806" spans="1:22" ht="15">
      <c r="A2806" s="4">
        <v>2799</v>
      </c>
      <c r="B2806">
        <v>509</v>
      </c>
      <c r="C2806" t="s">
        <v>4494</v>
      </c>
      <c r="D2806" t="s">
        <v>5993</v>
      </c>
      <c r="E2806" t="s">
        <v>344</v>
      </c>
      <c r="F2806" t="s">
        <v>5994</v>
      </c>
      <c r="G2806" t="str">
        <f>"00517119"</f>
        <v>00517119</v>
      </c>
      <c r="H2806">
        <v>7.2</v>
      </c>
      <c r="I2806">
        <v>0</v>
      </c>
      <c r="L2806">
        <v>4</v>
      </c>
      <c r="M2806">
        <v>0</v>
      </c>
      <c r="N2806">
        <v>4</v>
      </c>
      <c r="O2806">
        <v>0</v>
      </c>
      <c r="P2806">
        <v>11.2</v>
      </c>
      <c r="Q2806">
        <v>0</v>
      </c>
      <c r="R2806">
        <v>0</v>
      </c>
      <c r="S2806">
        <v>0</v>
      </c>
      <c r="T2806">
        <v>0</v>
      </c>
      <c r="U2806" s="1">
        <v>0</v>
      </c>
      <c r="V2806">
        <v>11.2</v>
      </c>
    </row>
    <row r="2807" spans="1:22" ht="15">
      <c r="A2807" s="4">
        <v>2800</v>
      </c>
      <c r="B2807">
        <v>1791</v>
      </c>
      <c r="C2807" t="s">
        <v>5995</v>
      </c>
      <c r="D2807" t="s">
        <v>5262</v>
      </c>
      <c r="E2807" t="s">
        <v>23</v>
      </c>
      <c r="F2807" t="s">
        <v>5996</v>
      </c>
      <c r="G2807" t="str">
        <f>"00521319"</f>
        <v>00521319</v>
      </c>
      <c r="H2807">
        <v>7.2</v>
      </c>
      <c r="I2807">
        <v>0</v>
      </c>
      <c r="M2807">
        <v>4</v>
      </c>
      <c r="N2807">
        <v>0</v>
      </c>
      <c r="O2807">
        <v>0</v>
      </c>
      <c r="P2807">
        <v>11.2</v>
      </c>
      <c r="Q2807">
        <v>0</v>
      </c>
      <c r="R2807">
        <v>0</v>
      </c>
      <c r="S2807">
        <v>0</v>
      </c>
      <c r="T2807">
        <v>0</v>
      </c>
      <c r="U2807" s="1">
        <v>0</v>
      </c>
      <c r="V2807">
        <v>11.2</v>
      </c>
    </row>
    <row r="2808" spans="1:22" ht="15">
      <c r="A2808" s="4">
        <v>2801</v>
      </c>
      <c r="B2808">
        <v>1835</v>
      </c>
      <c r="C2808" t="s">
        <v>5997</v>
      </c>
      <c r="D2808" t="s">
        <v>5998</v>
      </c>
      <c r="E2808" t="s">
        <v>5999</v>
      </c>
      <c r="F2808">
        <v>9240</v>
      </c>
      <c r="G2808" t="str">
        <f>"00021235"</f>
        <v>00021235</v>
      </c>
      <c r="H2808">
        <v>7.2</v>
      </c>
      <c r="I2808">
        <v>0</v>
      </c>
      <c r="M2808">
        <v>4</v>
      </c>
      <c r="N2808">
        <v>0</v>
      </c>
      <c r="O2808">
        <v>0</v>
      </c>
      <c r="P2808">
        <v>11.2</v>
      </c>
      <c r="Q2808">
        <v>0</v>
      </c>
      <c r="R2808">
        <v>0</v>
      </c>
      <c r="S2808">
        <v>0</v>
      </c>
      <c r="T2808">
        <v>0</v>
      </c>
      <c r="U2808" s="1">
        <v>0</v>
      </c>
      <c r="V2808">
        <v>11.2</v>
      </c>
    </row>
    <row r="2809" spans="1:22" ht="15">
      <c r="A2809" s="4">
        <v>2802</v>
      </c>
      <c r="B2809">
        <v>463</v>
      </c>
      <c r="C2809" t="s">
        <v>4942</v>
      </c>
      <c r="D2809" t="s">
        <v>477</v>
      </c>
      <c r="E2809" t="s">
        <v>73</v>
      </c>
      <c r="F2809" t="s">
        <v>6000</v>
      </c>
      <c r="G2809" t="str">
        <f>"201511024921"</f>
        <v>201511024921</v>
      </c>
      <c r="H2809">
        <v>7.2</v>
      </c>
      <c r="I2809">
        <v>0</v>
      </c>
      <c r="M2809">
        <v>4</v>
      </c>
      <c r="N2809">
        <v>0</v>
      </c>
      <c r="O2809">
        <v>0</v>
      </c>
      <c r="P2809">
        <v>11.2</v>
      </c>
      <c r="Q2809">
        <v>0</v>
      </c>
      <c r="R2809">
        <v>0</v>
      </c>
      <c r="S2809">
        <v>0</v>
      </c>
      <c r="T2809">
        <v>0</v>
      </c>
      <c r="U2809" s="1">
        <v>0</v>
      </c>
      <c r="V2809">
        <v>11.2</v>
      </c>
    </row>
    <row r="2810" spans="1:22" ht="15">
      <c r="A2810" s="4">
        <v>2803</v>
      </c>
      <c r="B2810">
        <v>694</v>
      </c>
      <c r="C2810" t="s">
        <v>6001</v>
      </c>
      <c r="D2810" t="s">
        <v>127</v>
      </c>
      <c r="E2810" t="s">
        <v>90</v>
      </c>
      <c r="F2810" t="s">
        <v>6002</v>
      </c>
      <c r="G2810" t="str">
        <f>"00515196"</f>
        <v>00515196</v>
      </c>
      <c r="H2810">
        <v>7.2</v>
      </c>
      <c r="I2810">
        <v>0</v>
      </c>
      <c r="L2810">
        <v>4</v>
      </c>
      <c r="M2810">
        <v>0</v>
      </c>
      <c r="N2810">
        <v>4</v>
      </c>
      <c r="O2810">
        <v>0</v>
      </c>
      <c r="P2810">
        <v>11.2</v>
      </c>
      <c r="Q2810">
        <v>0</v>
      </c>
      <c r="R2810">
        <v>0</v>
      </c>
      <c r="S2810">
        <v>0</v>
      </c>
      <c r="T2810">
        <v>0</v>
      </c>
      <c r="U2810" s="1">
        <v>0</v>
      </c>
      <c r="V2810">
        <v>11.2</v>
      </c>
    </row>
    <row r="2811" spans="1:22" ht="15">
      <c r="A2811" s="4">
        <v>2804</v>
      </c>
      <c r="B2811">
        <v>1640</v>
      </c>
      <c r="C2811" t="s">
        <v>6003</v>
      </c>
      <c r="D2811" t="s">
        <v>580</v>
      </c>
      <c r="E2811" t="s">
        <v>197</v>
      </c>
      <c r="F2811" t="s">
        <v>6004</v>
      </c>
      <c r="G2811" t="str">
        <f>"00135209"</f>
        <v>00135209</v>
      </c>
      <c r="H2811">
        <v>7.2</v>
      </c>
      <c r="I2811">
        <v>0</v>
      </c>
      <c r="M2811">
        <v>4</v>
      </c>
      <c r="N2811">
        <v>0</v>
      </c>
      <c r="O2811">
        <v>0</v>
      </c>
      <c r="P2811">
        <v>11.2</v>
      </c>
      <c r="Q2811">
        <v>0</v>
      </c>
      <c r="R2811">
        <v>0</v>
      </c>
      <c r="S2811">
        <v>0</v>
      </c>
      <c r="T2811">
        <v>0</v>
      </c>
      <c r="U2811" s="1">
        <v>0</v>
      </c>
      <c r="V2811">
        <v>11.2</v>
      </c>
    </row>
    <row r="2812" spans="1:22" ht="15">
      <c r="A2812" s="4">
        <v>2805</v>
      </c>
      <c r="B2812">
        <v>142</v>
      </c>
      <c r="C2812" t="s">
        <v>4809</v>
      </c>
      <c r="D2812" t="s">
        <v>170</v>
      </c>
      <c r="E2812" t="s">
        <v>447</v>
      </c>
      <c r="F2812" t="s">
        <v>6005</v>
      </c>
      <c r="G2812" t="str">
        <f>"00429070"</f>
        <v>00429070</v>
      </c>
      <c r="H2812">
        <v>0</v>
      </c>
      <c r="I2812">
        <v>0</v>
      </c>
      <c r="L2812">
        <v>4</v>
      </c>
      <c r="M2812">
        <v>4</v>
      </c>
      <c r="N2812">
        <v>4</v>
      </c>
      <c r="O2812">
        <v>0</v>
      </c>
      <c r="P2812">
        <v>8</v>
      </c>
      <c r="Q2812">
        <v>0</v>
      </c>
      <c r="R2812">
        <v>0</v>
      </c>
      <c r="S2812">
        <v>3</v>
      </c>
      <c r="T2812">
        <v>0</v>
      </c>
      <c r="U2812" s="1">
        <v>0</v>
      </c>
      <c r="V2812">
        <v>11</v>
      </c>
    </row>
    <row r="2813" spans="1:22" ht="15">
      <c r="A2813" s="4">
        <v>2806</v>
      </c>
      <c r="B2813">
        <v>2852</v>
      </c>
      <c r="C2813" t="s">
        <v>6006</v>
      </c>
      <c r="D2813" t="s">
        <v>127</v>
      </c>
      <c r="E2813" t="s">
        <v>19</v>
      </c>
      <c r="F2813" t="s">
        <v>6007</v>
      </c>
      <c r="G2813" t="str">
        <f>"00533534"</f>
        <v>00533534</v>
      </c>
      <c r="H2813">
        <v>0</v>
      </c>
      <c r="I2813">
        <v>0</v>
      </c>
      <c r="L2813">
        <v>4</v>
      </c>
      <c r="M2813">
        <v>4</v>
      </c>
      <c r="N2813">
        <v>4</v>
      </c>
      <c r="O2813">
        <v>0</v>
      </c>
      <c r="P2813">
        <v>8</v>
      </c>
      <c r="Q2813">
        <v>0</v>
      </c>
      <c r="R2813">
        <v>0</v>
      </c>
      <c r="S2813">
        <v>3</v>
      </c>
      <c r="T2813">
        <v>0</v>
      </c>
      <c r="U2813" s="1">
        <v>0</v>
      </c>
      <c r="V2813">
        <v>11</v>
      </c>
    </row>
    <row r="2814" spans="1:22" ht="15">
      <c r="A2814" s="4">
        <v>2807</v>
      </c>
      <c r="B2814">
        <v>38</v>
      </c>
      <c r="C2814" t="s">
        <v>6008</v>
      </c>
      <c r="D2814" t="s">
        <v>6009</v>
      </c>
      <c r="E2814" t="s">
        <v>59</v>
      </c>
      <c r="F2814" t="s">
        <v>6010</v>
      </c>
      <c r="G2814" t="str">
        <f>"00507310"</f>
        <v>00507310</v>
      </c>
      <c r="H2814">
        <v>0</v>
      </c>
      <c r="I2814">
        <v>0</v>
      </c>
      <c r="L2814">
        <v>4</v>
      </c>
      <c r="M2814">
        <v>4</v>
      </c>
      <c r="N2814">
        <v>4</v>
      </c>
      <c r="O2814">
        <v>0</v>
      </c>
      <c r="P2814">
        <v>8</v>
      </c>
      <c r="Q2814">
        <v>3</v>
      </c>
      <c r="R2814">
        <v>3</v>
      </c>
      <c r="S2814">
        <v>0</v>
      </c>
      <c r="T2814">
        <v>0</v>
      </c>
      <c r="U2814" s="1">
        <v>0</v>
      </c>
      <c r="V2814">
        <v>11</v>
      </c>
    </row>
    <row r="2815" spans="1:22" ht="15">
      <c r="A2815" s="4">
        <v>2808</v>
      </c>
      <c r="B2815">
        <v>2195</v>
      </c>
      <c r="C2815" t="s">
        <v>2851</v>
      </c>
      <c r="D2815" t="s">
        <v>82</v>
      </c>
      <c r="E2815" t="s">
        <v>59</v>
      </c>
      <c r="F2815" t="s">
        <v>6011</v>
      </c>
      <c r="G2815" t="str">
        <f>"201412004026"</f>
        <v>201412004026</v>
      </c>
      <c r="H2815">
        <v>0</v>
      </c>
      <c r="I2815">
        <v>0</v>
      </c>
      <c r="L2815">
        <v>4</v>
      </c>
      <c r="M2815">
        <v>4</v>
      </c>
      <c r="N2815">
        <v>4</v>
      </c>
      <c r="O2815">
        <v>0</v>
      </c>
      <c r="P2815">
        <v>8</v>
      </c>
      <c r="Q2815">
        <v>0</v>
      </c>
      <c r="R2815">
        <v>0</v>
      </c>
      <c r="S2815">
        <v>3</v>
      </c>
      <c r="T2815">
        <v>0</v>
      </c>
      <c r="U2815" s="1" t="s">
        <v>6251</v>
      </c>
      <c r="V2815">
        <v>11</v>
      </c>
    </row>
    <row r="2816" spans="1:22" ht="15">
      <c r="A2816" s="4">
        <v>2809</v>
      </c>
      <c r="B2816">
        <v>3340</v>
      </c>
      <c r="C2816" t="s">
        <v>6012</v>
      </c>
      <c r="D2816" t="s">
        <v>26</v>
      </c>
      <c r="E2816" t="s">
        <v>15</v>
      </c>
      <c r="F2816" t="s">
        <v>6013</v>
      </c>
      <c r="G2816" t="str">
        <f>"00531319"</f>
        <v>00531319</v>
      </c>
      <c r="H2816">
        <v>10.4</v>
      </c>
      <c r="I2816">
        <v>0</v>
      </c>
      <c r="M2816">
        <v>0</v>
      </c>
      <c r="N2816">
        <v>0</v>
      </c>
      <c r="O2816">
        <v>0</v>
      </c>
      <c r="P2816">
        <v>10.4</v>
      </c>
      <c r="Q2816">
        <v>0</v>
      </c>
      <c r="R2816">
        <v>0</v>
      </c>
      <c r="S2816">
        <v>0</v>
      </c>
      <c r="T2816">
        <v>0</v>
      </c>
      <c r="U2816" s="1">
        <v>0</v>
      </c>
      <c r="V2816">
        <v>10.4</v>
      </c>
    </row>
    <row r="2817" spans="1:22" ht="15">
      <c r="A2817" s="4">
        <v>2810</v>
      </c>
      <c r="B2817">
        <v>2041</v>
      </c>
      <c r="C2817" t="s">
        <v>6014</v>
      </c>
      <c r="D2817" t="s">
        <v>6015</v>
      </c>
      <c r="E2817" t="s">
        <v>2846</v>
      </c>
      <c r="F2817" t="s">
        <v>6016</v>
      </c>
      <c r="G2817" t="str">
        <f>"00441514"</f>
        <v>00441514</v>
      </c>
      <c r="H2817">
        <v>7.2</v>
      </c>
      <c r="I2817">
        <v>0</v>
      </c>
      <c r="M2817">
        <v>0</v>
      </c>
      <c r="N2817">
        <v>0</v>
      </c>
      <c r="O2817">
        <v>0</v>
      </c>
      <c r="P2817">
        <v>7.2</v>
      </c>
      <c r="Q2817">
        <v>0</v>
      </c>
      <c r="R2817">
        <v>0</v>
      </c>
      <c r="S2817">
        <v>3</v>
      </c>
      <c r="T2817">
        <v>0</v>
      </c>
      <c r="U2817" s="1">
        <v>0</v>
      </c>
      <c r="V2817">
        <v>10.2</v>
      </c>
    </row>
    <row r="2818" spans="1:22" ht="15">
      <c r="A2818" s="4">
        <v>2811</v>
      </c>
      <c r="B2818">
        <v>2925</v>
      </c>
      <c r="C2818" t="s">
        <v>6017</v>
      </c>
      <c r="D2818" t="s">
        <v>6018</v>
      </c>
      <c r="E2818" t="s">
        <v>575</v>
      </c>
      <c r="F2818" t="s">
        <v>6019</v>
      </c>
      <c r="G2818" t="str">
        <f>"200802006673"</f>
        <v>200802006673</v>
      </c>
      <c r="H2818">
        <v>7.2</v>
      </c>
      <c r="I2818">
        <v>0</v>
      </c>
      <c r="M2818">
        <v>0</v>
      </c>
      <c r="N2818">
        <v>0</v>
      </c>
      <c r="O2818">
        <v>0</v>
      </c>
      <c r="P2818">
        <v>7.2</v>
      </c>
      <c r="Q2818">
        <v>0</v>
      </c>
      <c r="R2818">
        <v>0</v>
      </c>
      <c r="S2818">
        <v>3</v>
      </c>
      <c r="T2818">
        <v>0</v>
      </c>
      <c r="U2818" s="1">
        <v>0</v>
      </c>
      <c r="V2818">
        <v>10.2</v>
      </c>
    </row>
    <row r="2819" spans="1:22" ht="15">
      <c r="A2819" s="4">
        <v>2812</v>
      </c>
      <c r="B2819">
        <v>709</v>
      </c>
      <c r="C2819" t="s">
        <v>2754</v>
      </c>
      <c r="D2819" t="s">
        <v>29</v>
      </c>
      <c r="E2819" t="s">
        <v>30</v>
      </c>
      <c r="F2819" t="s">
        <v>6020</v>
      </c>
      <c r="G2819" t="str">
        <f>"201412001574"</f>
        <v>201412001574</v>
      </c>
      <c r="H2819">
        <v>0</v>
      </c>
      <c r="I2819">
        <v>0</v>
      </c>
      <c r="L2819">
        <v>4</v>
      </c>
      <c r="M2819">
        <v>4</v>
      </c>
      <c r="N2819">
        <v>4</v>
      </c>
      <c r="O2819">
        <v>2</v>
      </c>
      <c r="P2819">
        <v>10</v>
      </c>
      <c r="Q2819">
        <v>0</v>
      </c>
      <c r="R2819">
        <v>0</v>
      </c>
      <c r="S2819">
        <v>0</v>
      </c>
      <c r="T2819">
        <v>0</v>
      </c>
      <c r="U2819" s="1">
        <v>0</v>
      </c>
      <c r="V2819">
        <v>10</v>
      </c>
    </row>
    <row r="2820" spans="1:22" ht="15">
      <c r="A2820" s="4">
        <v>2813</v>
      </c>
      <c r="B2820">
        <v>3291</v>
      </c>
      <c r="C2820" t="s">
        <v>6021</v>
      </c>
      <c r="D2820" t="s">
        <v>222</v>
      </c>
      <c r="E2820" t="s">
        <v>242</v>
      </c>
      <c r="F2820" t="s">
        <v>6022</v>
      </c>
      <c r="G2820" t="str">
        <f>"00531845"</f>
        <v>00531845</v>
      </c>
      <c r="H2820">
        <v>0</v>
      </c>
      <c r="I2820">
        <v>0</v>
      </c>
      <c r="M2820">
        <v>4</v>
      </c>
      <c r="N2820">
        <v>0</v>
      </c>
      <c r="O2820">
        <v>0</v>
      </c>
      <c r="P2820">
        <v>4</v>
      </c>
      <c r="Q2820">
        <v>0</v>
      </c>
      <c r="R2820">
        <v>0</v>
      </c>
      <c r="S2820">
        <v>6</v>
      </c>
      <c r="T2820">
        <v>0</v>
      </c>
      <c r="U2820" s="1">
        <v>0</v>
      </c>
      <c r="V2820">
        <v>10</v>
      </c>
    </row>
    <row r="2821" spans="1:22" ht="15">
      <c r="A2821" s="4">
        <v>2814</v>
      </c>
      <c r="B2821">
        <v>1654</v>
      </c>
      <c r="C2821" t="s">
        <v>2283</v>
      </c>
      <c r="D2821" t="s">
        <v>363</v>
      </c>
      <c r="E2821" t="s">
        <v>90</v>
      </c>
      <c r="F2821" t="s">
        <v>6023</v>
      </c>
      <c r="G2821" t="str">
        <f>"00530312"</f>
        <v>00530312</v>
      </c>
      <c r="H2821">
        <v>0</v>
      </c>
      <c r="I2821">
        <v>0</v>
      </c>
      <c r="M2821">
        <v>4</v>
      </c>
      <c r="N2821">
        <v>0</v>
      </c>
      <c r="O2821">
        <v>0</v>
      </c>
      <c r="P2821">
        <v>4</v>
      </c>
      <c r="Q2821">
        <v>0</v>
      </c>
      <c r="R2821">
        <v>0</v>
      </c>
      <c r="S2821">
        <v>6</v>
      </c>
      <c r="T2821">
        <v>0</v>
      </c>
      <c r="U2821" s="1">
        <v>0</v>
      </c>
      <c r="V2821">
        <v>10</v>
      </c>
    </row>
    <row r="2822" spans="1:22" ht="15">
      <c r="A2822" s="4">
        <v>2815</v>
      </c>
      <c r="B2822">
        <v>795</v>
      </c>
      <c r="C2822" t="s">
        <v>6024</v>
      </c>
      <c r="D2822" t="s">
        <v>222</v>
      </c>
      <c r="E2822" t="s">
        <v>23</v>
      </c>
      <c r="F2822" t="s">
        <v>6025</v>
      </c>
      <c r="G2822" t="str">
        <f>"00524488"</f>
        <v>00524488</v>
      </c>
      <c r="H2822">
        <v>0</v>
      </c>
      <c r="I2822">
        <v>0</v>
      </c>
      <c r="M2822">
        <v>4</v>
      </c>
      <c r="N2822">
        <v>0</v>
      </c>
      <c r="O2822">
        <v>0</v>
      </c>
      <c r="P2822">
        <v>4</v>
      </c>
      <c r="Q2822">
        <v>0</v>
      </c>
      <c r="R2822">
        <v>0</v>
      </c>
      <c r="S2822">
        <v>6</v>
      </c>
      <c r="T2822">
        <v>0</v>
      </c>
      <c r="U2822" s="1">
        <v>0</v>
      </c>
      <c r="V2822">
        <v>10</v>
      </c>
    </row>
    <row r="2823" spans="1:22" ht="15">
      <c r="A2823" s="4">
        <v>2816</v>
      </c>
      <c r="B2823">
        <v>334</v>
      </c>
      <c r="C2823" t="s">
        <v>6026</v>
      </c>
      <c r="D2823" t="s">
        <v>211</v>
      </c>
      <c r="E2823" t="s">
        <v>90</v>
      </c>
      <c r="F2823" t="s">
        <v>6027</v>
      </c>
      <c r="G2823" t="str">
        <f>"201511040474"</f>
        <v>201511040474</v>
      </c>
      <c r="H2823">
        <v>0</v>
      </c>
      <c r="I2823">
        <v>0</v>
      </c>
      <c r="L2823">
        <v>4</v>
      </c>
      <c r="M2823">
        <v>4</v>
      </c>
      <c r="N2823">
        <v>4</v>
      </c>
      <c r="O2823">
        <v>2</v>
      </c>
      <c r="P2823">
        <v>10</v>
      </c>
      <c r="Q2823">
        <v>0</v>
      </c>
      <c r="R2823">
        <v>0</v>
      </c>
      <c r="S2823">
        <v>0</v>
      </c>
      <c r="T2823">
        <v>0</v>
      </c>
      <c r="U2823" s="1">
        <v>0</v>
      </c>
      <c r="V2823">
        <v>10</v>
      </c>
    </row>
    <row r="2824" spans="1:22" ht="15">
      <c r="A2824" s="4">
        <v>2817</v>
      </c>
      <c r="B2824">
        <v>1763</v>
      </c>
      <c r="C2824" t="s">
        <v>6028</v>
      </c>
      <c r="D2824" t="s">
        <v>1378</v>
      </c>
      <c r="E2824" t="s">
        <v>30</v>
      </c>
      <c r="F2824" t="s">
        <v>6029</v>
      </c>
      <c r="G2824" t="str">
        <f>"00432674"</f>
        <v>00432674</v>
      </c>
      <c r="H2824">
        <v>0</v>
      </c>
      <c r="I2824">
        <v>0</v>
      </c>
      <c r="L2824">
        <v>4</v>
      </c>
      <c r="M2824">
        <v>4</v>
      </c>
      <c r="N2824">
        <v>4</v>
      </c>
      <c r="O2824">
        <v>2</v>
      </c>
      <c r="P2824">
        <v>10</v>
      </c>
      <c r="Q2824">
        <v>0</v>
      </c>
      <c r="R2824">
        <v>0</v>
      </c>
      <c r="S2824">
        <v>0</v>
      </c>
      <c r="T2824">
        <v>0</v>
      </c>
      <c r="U2824" s="1">
        <v>0</v>
      </c>
      <c r="V2824">
        <v>10</v>
      </c>
    </row>
    <row r="2825" spans="1:22" ht="15">
      <c r="A2825" s="4">
        <v>2818</v>
      </c>
      <c r="B2825">
        <v>886</v>
      </c>
      <c r="C2825" t="s">
        <v>6030</v>
      </c>
      <c r="D2825" t="s">
        <v>5385</v>
      </c>
      <c r="E2825" t="s">
        <v>499</v>
      </c>
      <c r="F2825" t="s">
        <v>6031</v>
      </c>
      <c r="G2825" t="str">
        <f>"00472220"</f>
        <v>00472220</v>
      </c>
      <c r="H2825">
        <v>0</v>
      </c>
      <c r="I2825">
        <v>0</v>
      </c>
      <c r="M2825">
        <v>4</v>
      </c>
      <c r="N2825">
        <v>0</v>
      </c>
      <c r="O2825">
        <v>0</v>
      </c>
      <c r="P2825">
        <v>4</v>
      </c>
      <c r="Q2825">
        <v>6</v>
      </c>
      <c r="R2825">
        <v>6</v>
      </c>
      <c r="S2825">
        <v>0</v>
      </c>
      <c r="T2825">
        <v>0</v>
      </c>
      <c r="U2825" s="1">
        <v>0</v>
      </c>
      <c r="V2825">
        <v>10</v>
      </c>
    </row>
    <row r="2826" spans="1:22" ht="15">
      <c r="A2826" s="4">
        <v>2819</v>
      </c>
      <c r="B2826">
        <v>1246</v>
      </c>
      <c r="C2826" t="s">
        <v>5912</v>
      </c>
      <c r="D2826" t="s">
        <v>22</v>
      </c>
      <c r="E2826" t="s">
        <v>4995</v>
      </c>
      <c r="F2826" t="s">
        <v>6032</v>
      </c>
      <c r="G2826" t="str">
        <f>"00489217"</f>
        <v>00489217</v>
      </c>
      <c r="H2826">
        <v>0</v>
      </c>
      <c r="I2826">
        <v>0</v>
      </c>
      <c r="M2826">
        <v>4</v>
      </c>
      <c r="N2826">
        <v>0</v>
      </c>
      <c r="O2826">
        <v>0</v>
      </c>
      <c r="P2826">
        <v>4</v>
      </c>
      <c r="Q2826">
        <v>0</v>
      </c>
      <c r="R2826">
        <v>0</v>
      </c>
      <c r="S2826">
        <v>6</v>
      </c>
      <c r="T2826">
        <v>0</v>
      </c>
      <c r="U2826" s="1">
        <v>0</v>
      </c>
      <c r="V2826">
        <v>10</v>
      </c>
    </row>
    <row r="2827" spans="1:22" ht="15">
      <c r="A2827" s="4">
        <v>2820</v>
      </c>
      <c r="B2827">
        <v>2373</v>
      </c>
      <c r="C2827" t="s">
        <v>6033</v>
      </c>
      <c r="D2827" t="s">
        <v>6034</v>
      </c>
      <c r="E2827" t="s">
        <v>6035</v>
      </c>
      <c r="F2827" t="s">
        <v>6036</v>
      </c>
      <c r="G2827" t="str">
        <f>"00496674"</f>
        <v>00496674</v>
      </c>
      <c r="H2827">
        <v>0</v>
      </c>
      <c r="I2827">
        <v>0</v>
      </c>
      <c r="M2827">
        <v>4</v>
      </c>
      <c r="N2827">
        <v>0</v>
      </c>
      <c r="O2827">
        <v>0</v>
      </c>
      <c r="P2827">
        <v>4</v>
      </c>
      <c r="Q2827">
        <v>6</v>
      </c>
      <c r="R2827">
        <v>6</v>
      </c>
      <c r="S2827">
        <v>0</v>
      </c>
      <c r="T2827">
        <v>0</v>
      </c>
      <c r="U2827" s="1">
        <v>0</v>
      </c>
      <c r="V2827">
        <v>10</v>
      </c>
    </row>
    <row r="2828" spans="1:22" ht="15">
      <c r="A2828" s="4">
        <v>2821</v>
      </c>
      <c r="B2828">
        <v>1942</v>
      </c>
      <c r="C2828" t="s">
        <v>6037</v>
      </c>
      <c r="D2828" t="s">
        <v>6038</v>
      </c>
      <c r="E2828" t="s">
        <v>41</v>
      </c>
      <c r="F2828" t="s">
        <v>6039</v>
      </c>
      <c r="G2828" t="str">
        <f>"201511019430"</f>
        <v>201511019430</v>
      </c>
      <c r="H2828">
        <v>0</v>
      </c>
      <c r="I2828">
        <v>0</v>
      </c>
      <c r="L2828">
        <v>4</v>
      </c>
      <c r="M2828">
        <v>4</v>
      </c>
      <c r="N2828">
        <v>4</v>
      </c>
      <c r="O2828">
        <v>2</v>
      </c>
      <c r="P2828">
        <v>10</v>
      </c>
      <c r="Q2828">
        <v>0</v>
      </c>
      <c r="R2828">
        <v>0</v>
      </c>
      <c r="S2828">
        <v>0</v>
      </c>
      <c r="T2828">
        <v>0</v>
      </c>
      <c r="U2828" s="1">
        <v>0</v>
      </c>
      <c r="V2828">
        <v>10</v>
      </c>
    </row>
    <row r="2829" spans="1:22" ht="15">
      <c r="A2829" s="4">
        <v>2822</v>
      </c>
      <c r="B2829">
        <v>145</v>
      </c>
      <c r="C2829" t="s">
        <v>6040</v>
      </c>
      <c r="D2829" t="s">
        <v>6041</v>
      </c>
      <c r="E2829" t="s">
        <v>6042</v>
      </c>
      <c r="F2829" t="s">
        <v>6043</v>
      </c>
      <c r="G2829" t="str">
        <f>"00489690"</f>
        <v>00489690</v>
      </c>
      <c r="H2829">
        <v>6.8</v>
      </c>
      <c r="I2829">
        <v>0</v>
      </c>
      <c r="M2829">
        <v>0</v>
      </c>
      <c r="N2829">
        <v>0</v>
      </c>
      <c r="O2829">
        <v>0</v>
      </c>
      <c r="P2829">
        <v>6.8</v>
      </c>
      <c r="Q2829">
        <v>0</v>
      </c>
      <c r="R2829">
        <v>0</v>
      </c>
      <c r="S2829">
        <v>3</v>
      </c>
      <c r="T2829">
        <v>0</v>
      </c>
      <c r="U2829" s="1">
        <v>0</v>
      </c>
      <c r="V2829">
        <v>9.8</v>
      </c>
    </row>
    <row r="2830" spans="1:22" ht="15">
      <c r="A2830" s="4">
        <v>2823</v>
      </c>
      <c r="B2830">
        <v>2484</v>
      </c>
      <c r="C2830" t="s">
        <v>6044</v>
      </c>
      <c r="D2830" t="s">
        <v>29</v>
      </c>
      <c r="E2830" t="s">
        <v>11</v>
      </c>
      <c r="F2830" t="s">
        <v>6045</v>
      </c>
      <c r="G2830" t="str">
        <f>"00442391"</f>
        <v>00442391</v>
      </c>
      <c r="H2830">
        <v>7.2</v>
      </c>
      <c r="I2830">
        <v>0</v>
      </c>
      <c r="M2830">
        <v>0</v>
      </c>
      <c r="N2830">
        <v>0</v>
      </c>
      <c r="O2830">
        <v>2</v>
      </c>
      <c r="P2830">
        <v>9.2</v>
      </c>
      <c r="Q2830">
        <v>0</v>
      </c>
      <c r="R2830">
        <v>0</v>
      </c>
      <c r="S2830">
        <v>0</v>
      </c>
      <c r="T2830">
        <v>0</v>
      </c>
      <c r="U2830" s="1">
        <v>0</v>
      </c>
      <c r="V2830">
        <v>9.2</v>
      </c>
    </row>
    <row r="2831" spans="1:22" ht="15">
      <c r="A2831" s="4">
        <v>2824</v>
      </c>
      <c r="B2831">
        <v>1188</v>
      </c>
      <c r="C2831" t="s">
        <v>6046</v>
      </c>
      <c r="D2831" t="s">
        <v>6047</v>
      </c>
      <c r="E2831" t="s">
        <v>19</v>
      </c>
      <c r="F2831" t="s">
        <v>6048</v>
      </c>
      <c r="G2831" t="str">
        <f>"00531411"</f>
        <v>00531411</v>
      </c>
      <c r="H2831">
        <v>7.2</v>
      </c>
      <c r="I2831">
        <v>0</v>
      </c>
      <c r="M2831">
        <v>0</v>
      </c>
      <c r="N2831">
        <v>0</v>
      </c>
      <c r="O2831">
        <v>2</v>
      </c>
      <c r="P2831">
        <v>9.2</v>
      </c>
      <c r="Q2831">
        <v>0</v>
      </c>
      <c r="R2831">
        <v>0</v>
      </c>
      <c r="S2831">
        <v>0</v>
      </c>
      <c r="T2831">
        <v>0</v>
      </c>
      <c r="U2831" s="1">
        <v>0</v>
      </c>
      <c r="V2831">
        <v>9.2</v>
      </c>
    </row>
    <row r="2832" spans="1:22" ht="15">
      <c r="A2832" s="4">
        <v>2825</v>
      </c>
      <c r="B2832">
        <v>2212</v>
      </c>
      <c r="C2832" t="s">
        <v>2608</v>
      </c>
      <c r="D2832" t="s">
        <v>14</v>
      </c>
      <c r="E2832" t="s">
        <v>1306</v>
      </c>
      <c r="F2832" t="s">
        <v>6049</v>
      </c>
      <c r="G2832" t="str">
        <f>"201511021958"</f>
        <v>201511021958</v>
      </c>
      <c r="H2832">
        <v>0</v>
      </c>
      <c r="I2832">
        <v>0</v>
      </c>
      <c r="J2832">
        <v>8</v>
      </c>
      <c r="M2832">
        <v>0</v>
      </c>
      <c r="N2832">
        <v>8</v>
      </c>
      <c r="O2832">
        <v>0</v>
      </c>
      <c r="P2832">
        <v>8</v>
      </c>
      <c r="Q2832">
        <v>0</v>
      </c>
      <c r="R2832">
        <v>0</v>
      </c>
      <c r="S2832">
        <v>0</v>
      </c>
      <c r="T2832">
        <v>0</v>
      </c>
      <c r="U2832" s="1">
        <v>0</v>
      </c>
      <c r="V2832">
        <v>8</v>
      </c>
    </row>
    <row r="2833" spans="1:22" ht="15">
      <c r="A2833" s="4">
        <v>2826</v>
      </c>
      <c r="B2833">
        <v>1180</v>
      </c>
      <c r="C2833" t="s">
        <v>6050</v>
      </c>
      <c r="D2833" t="s">
        <v>14</v>
      </c>
      <c r="E2833" t="s">
        <v>23</v>
      </c>
      <c r="F2833" t="s">
        <v>6051</v>
      </c>
      <c r="G2833" t="str">
        <f>"00528649"</f>
        <v>00528649</v>
      </c>
      <c r="H2833">
        <v>0</v>
      </c>
      <c r="I2833">
        <v>0</v>
      </c>
      <c r="L2833">
        <v>4</v>
      </c>
      <c r="M2833">
        <v>4</v>
      </c>
      <c r="N2833">
        <v>4</v>
      </c>
      <c r="O2833">
        <v>0</v>
      </c>
      <c r="P2833">
        <v>8</v>
      </c>
      <c r="Q2833">
        <v>0</v>
      </c>
      <c r="R2833">
        <v>0</v>
      </c>
      <c r="S2833">
        <v>0</v>
      </c>
      <c r="T2833">
        <v>0</v>
      </c>
      <c r="U2833" s="1">
        <v>0</v>
      </c>
      <c r="V2833">
        <v>8</v>
      </c>
    </row>
    <row r="2834" spans="1:22" ht="15">
      <c r="A2834" s="4">
        <v>2827</v>
      </c>
      <c r="B2834">
        <v>3435</v>
      </c>
      <c r="C2834" t="s">
        <v>6052</v>
      </c>
      <c r="D2834" t="s">
        <v>26</v>
      </c>
      <c r="E2834" t="s">
        <v>41</v>
      </c>
      <c r="F2834" t="s">
        <v>6053</v>
      </c>
      <c r="G2834" t="str">
        <f>"00533517"</f>
        <v>00533517</v>
      </c>
      <c r="H2834">
        <v>0</v>
      </c>
      <c r="I2834">
        <v>0</v>
      </c>
      <c r="L2834">
        <v>4</v>
      </c>
      <c r="M2834">
        <v>4</v>
      </c>
      <c r="N2834">
        <v>4</v>
      </c>
      <c r="O2834">
        <v>0</v>
      </c>
      <c r="P2834">
        <v>8</v>
      </c>
      <c r="Q2834">
        <v>0</v>
      </c>
      <c r="R2834">
        <v>0</v>
      </c>
      <c r="S2834">
        <v>0</v>
      </c>
      <c r="T2834">
        <v>0</v>
      </c>
      <c r="U2834" s="1">
        <v>0</v>
      </c>
      <c r="V2834">
        <v>8</v>
      </c>
    </row>
    <row r="2835" spans="1:22" ht="15">
      <c r="A2835" s="4">
        <v>2828</v>
      </c>
      <c r="B2835">
        <v>1831</v>
      </c>
      <c r="C2835" t="s">
        <v>6054</v>
      </c>
      <c r="D2835" t="s">
        <v>511</v>
      </c>
      <c r="E2835" t="s">
        <v>4991</v>
      </c>
      <c r="F2835" t="s">
        <v>6055</v>
      </c>
      <c r="G2835" t="str">
        <f>"00479043"</f>
        <v>00479043</v>
      </c>
      <c r="H2835">
        <v>0</v>
      </c>
      <c r="I2835">
        <v>0</v>
      </c>
      <c r="L2835">
        <v>4</v>
      </c>
      <c r="M2835">
        <v>4</v>
      </c>
      <c r="N2835">
        <v>4</v>
      </c>
      <c r="O2835">
        <v>0</v>
      </c>
      <c r="P2835">
        <v>8</v>
      </c>
      <c r="Q2835">
        <v>0</v>
      </c>
      <c r="R2835">
        <v>0</v>
      </c>
      <c r="S2835">
        <v>0</v>
      </c>
      <c r="T2835">
        <v>0</v>
      </c>
      <c r="U2835" s="1">
        <v>0</v>
      </c>
      <c r="V2835">
        <v>8</v>
      </c>
    </row>
    <row r="2836" spans="1:22" ht="15">
      <c r="A2836" s="4">
        <v>2829</v>
      </c>
      <c r="B2836">
        <v>1641</v>
      </c>
      <c r="C2836" t="s">
        <v>6056</v>
      </c>
      <c r="D2836" t="s">
        <v>33</v>
      </c>
      <c r="E2836" t="s">
        <v>23</v>
      </c>
      <c r="F2836" t="s">
        <v>6057</v>
      </c>
      <c r="G2836" t="str">
        <f>"00530480"</f>
        <v>00530480</v>
      </c>
      <c r="H2836">
        <v>0</v>
      </c>
      <c r="I2836">
        <v>0</v>
      </c>
      <c r="L2836">
        <v>4</v>
      </c>
      <c r="M2836">
        <v>4</v>
      </c>
      <c r="N2836">
        <v>4</v>
      </c>
      <c r="O2836">
        <v>0</v>
      </c>
      <c r="P2836">
        <v>8</v>
      </c>
      <c r="Q2836">
        <v>0</v>
      </c>
      <c r="R2836">
        <v>0</v>
      </c>
      <c r="S2836">
        <v>0</v>
      </c>
      <c r="T2836">
        <v>0</v>
      </c>
      <c r="U2836" s="1">
        <v>0</v>
      </c>
      <c r="V2836">
        <v>8</v>
      </c>
    </row>
    <row r="2837" spans="1:22" ht="15">
      <c r="A2837" s="4">
        <v>2830</v>
      </c>
      <c r="B2837">
        <v>1236</v>
      </c>
      <c r="C2837" t="s">
        <v>316</v>
      </c>
      <c r="D2837" t="s">
        <v>643</v>
      </c>
      <c r="E2837" t="s">
        <v>134</v>
      </c>
      <c r="F2837" t="s">
        <v>6058</v>
      </c>
      <c r="G2837" t="str">
        <f>"00531859"</f>
        <v>00531859</v>
      </c>
      <c r="H2837">
        <v>0</v>
      </c>
      <c r="I2837">
        <v>0</v>
      </c>
      <c r="L2837">
        <v>4</v>
      </c>
      <c r="M2837">
        <v>4</v>
      </c>
      <c r="N2837">
        <v>4</v>
      </c>
      <c r="O2837">
        <v>0</v>
      </c>
      <c r="P2837">
        <v>8</v>
      </c>
      <c r="Q2837">
        <v>0</v>
      </c>
      <c r="R2837">
        <v>0</v>
      </c>
      <c r="S2837">
        <v>0</v>
      </c>
      <c r="T2837">
        <v>0</v>
      </c>
      <c r="U2837" s="1">
        <v>0</v>
      </c>
      <c r="V2837">
        <v>8</v>
      </c>
    </row>
    <row r="2838" spans="1:22" ht="15">
      <c r="A2838" s="4">
        <v>2831</v>
      </c>
      <c r="B2838">
        <v>1062</v>
      </c>
      <c r="C2838" t="s">
        <v>2641</v>
      </c>
      <c r="D2838" t="s">
        <v>280</v>
      </c>
      <c r="E2838" t="s">
        <v>73</v>
      </c>
      <c r="F2838" t="s">
        <v>6059</v>
      </c>
      <c r="G2838" t="str">
        <f>"00381596"</f>
        <v>00381596</v>
      </c>
      <c r="H2838">
        <v>0</v>
      </c>
      <c r="I2838">
        <v>0</v>
      </c>
      <c r="L2838">
        <v>4</v>
      </c>
      <c r="M2838">
        <v>4</v>
      </c>
      <c r="N2838">
        <v>4</v>
      </c>
      <c r="O2838">
        <v>0</v>
      </c>
      <c r="P2838">
        <v>8</v>
      </c>
      <c r="Q2838">
        <v>0</v>
      </c>
      <c r="R2838">
        <v>0</v>
      </c>
      <c r="S2838">
        <v>0</v>
      </c>
      <c r="T2838">
        <v>0</v>
      </c>
      <c r="U2838" s="1">
        <v>0</v>
      </c>
      <c r="V2838">
        <v>8</v>
      </c>
    </row>
    <row r="2839" spans="1:22" ht="15">
      <c r="A2839" s="4">
        <v>2832</v>
      </c>
      <c r="B2839">
        <v>1863</v>
      </c>
      <c r="C2839" t="s">
        <v>6060</v>
      </c>
      <c r="D2839" t="s">
        <v>6061</v>
      </c>
      <c r="E2839" t="s">
        <v>514</v>
      </c>
      <c r="F2839" t="s">
        <v>6062</v>
      </c>
      <c r="G2839" t="str">
        <f>"00470676"</f>
        <v>00470676</v>
      </c>
      <c r="H2839">
        <v>0</v>
      </c>
      <c r="I2839">
        <v>0</v>
      </c>
      <c r="L2839">
        <v>4</v>
      </c>
      <c r="M2839">
        <v>4</v>
      </c>
      <c r="N2839">
        <v>4</v>
      </c>
      <c r="O2839">
        <v>0</v>
      </c>
      <c r="P2839">
        <v>8</v>
      </c>
      <c r="Q2839">
        <v>0</v>
      </c>
      <c r="R2839">
        <v>0</v>
      </c>
      <c r="S2839">
        <v>0</v>
      </c>
      <c r="T2839">
        <v>0</v>
      </c>
      <c r="U2839" s="1">
        <v>0</v>
      </c>
      <c r="V2839">
        <v>8</v>
      </c>
    </row>
    <row r="2840" spans="1:22" ht="15">
      <c r="A2840" s="4">
        <v>2833</v>
      </c>
      <c r="B2840">
        <v>1005</v>
      </c>
      <c r="C2840" t="s">
        <v>6063</v>
      </c>
      <c r="D2840" t="s">
        <v>582</v>
      </c>
      <c r="E2840" t="s">
        <v>1343</v>
      </c>
      <c r="F2840" t="s">
        <v>6064</v>
      </c>
      <c r="G2840" t="str">
        <f>"00521787"</f>
        <v>00521787</v>
      </c>
      <c r="H2840">
        <v>0</v>
      </c>
      <c r="I2840">
        <v>0</v>
      </c>
      <c r="L2840">
        <v>4</v>
      </c>
      <c r="M2840">
        <v>4</v>
      </c>
      <c r="N2840">
        <v>4</v>
      </c>
      <c r="O2840">
        <v>0</v>
      </c>
      <c r="P2840">
        <v>8</v>
      </c>
      <c r="Q2840">
        <v>0</v>
      </c>
      <c r="R2840">
        <v>0</v>
      </c>
      <c r="S2840">
        <v>0</v>
      </c>
      <c r="T2840">
        <v>0</v>
      </c>
      <c r="U2840" s="1">
        <v>0</v>
      </c>
      <c r="V2840">
        <v>8</v>
      </c>
    </row>
    <row r="2841" spans="1:22" ht="15">
      <c r="A2841" s="4">
        <v>2834</v>
      </c>
      <c r="B2841">
        <v>1274</v>
      </c>
      <c r="C2841" t="s">
        <v>6065</v>
      </c>
      <c r="D2841" t="s">
        <v>5364</v>
      </c>
      <c r="E2841" t="s">
        <v>225</v>
      </c>
      <c r="F2841" t="s">
        <v>6066</v>
      </c>
      <c r="G2841" t="str">
        <f>"201402003609"</f>
        <v>201402003609</v>
      </c>
      <c r="H2841">
        <v>0</v>
      </c>
      <c r="I2841">
        <v>0</v>
      </c>
      <c r="L2841">
        <v>4</v>
      </c>
      <c r="M2841">
        <v>4</v>
      </c>
      <c r="N2841">
        <v>4</v>
      </c>
      <c r="O2841">
        <v>0</v>
      </c>
      <c r="P2841">
        <v>8</v>
      </c>
      <c r="Q2841">
        <v>0</v>
      </c>
      <c r="R2841">
        <v>0</v>
      </c>
      <c r="S2841">
        <v>0</v>
      </c>
      <c r="T2841">
        <v>0</v>
      </c>
      <c r="U2841" s="1">
        <v>0</v>
      </c>
      <c r="V2841">
        <v>8</v>
      </c>
    </row>
    <row r="2842" spans="1:22" ht="15">
      <c r="A2842" s="4">
        <v>2835</v>
      </c>
      <c r="B2842">
        <v>523</v>
      </c>
      <c r="C2842" t="s">
        <v>6067</v>
      </c>
      <c r="D2842" t="s">
        <v>6068</v>
      </c>
      <c r="E2842" t="s">
        <v>73</v>
      </c>
      <c r="F2842" t="s">
        <v>6069</v>
      </c>
      <c r="G2842" t="str">
        <f>"00527431"</f>
        <v>00527431</v>
      </c>
      <c r="H2842">
        <v>0</v>
      </c>
      <c r="I2842">
        <v>0</v>
      </c>
      <c r="L2842">
        <v>4</v>
      </c>
      <c r="M2842">
        <v>4</v>
      </c>
      <c r="N2842">
        <v>4</v>
      </c>
      <c r="O2842">
        <v>0</v>
      </c>
      <c r="P2842">
        <v>8</v>
      </c>
      <c r="Q2842">
        <v>0</v>
      </c>
      <c r="R2842">
        <v>0</v>
      </c>
      <c r="S2842">
        <v>0</v>
      </c>
      <c r="T2842">
        <v>0</v>
      </c>
      <c r="U2842" s="1">
        <v>0</v>
      </c>
      <c r="V2842">
        <v>8</v>
      </c>
    </row>
    <row r="2843" spans="1:22" ht="15">
      <c r="A2843" s="4">
        <v>2836</v>
      </c>
      <c r="B2843">
        <v>2718</v>
      </c>
      <c r="C2843" t="s">
        <v>6070</v>
      </c>
      <c r="D2843" t="s">
        <v>643</v>
      </c>
      <c r="E2843" t="s">
        <v>157</v>
      </c>
      <c r="F2843" t="s">
        <v>6071</v>
      </c>
      <c r="G2843" t="str">
        <f>"00530506"</f>
        <v>00530506</v>
      </c>
      <c r="H2843">
        <v>7.2</v>
      </c>
      <c r="I2843">
        <v>0</v>
      </c>
      <c r="M2843">
        <v>0</v>
      </c>
      <c r="N2843">
        <v>0</v>
      </c>
      <c r="O2843">
        <v>0</v>
      </c>
      <c r="P2843">
        <v>7.2</v>
      </c>
      <c r="Q2843">
        <v>0</v>
      </c>
      <c r="R2843">
        <v>0</v>
      </c>
      <c r="S2843">
        <v>0</v>
      </c>
      <c r="T2843">
        <v>0</v>
      </c>
      <c r="U2843" s="1">
        <v>0</v>
      </c>
      <c r="V2843">
        <v>7.2</v>
      </c>
    </row>
    <row r="2844" spans="1:22" ht="15">
      <c r="A2844" s="4">
        <v>2837</v>
      </c>
      <c r="B2844">
        <v>2471</v>
      </c>
      <c r="C2844" t="s">
        <v>6072</v>
      </c>
      <c r="D2844" t="s">
        <v>112</v>
      </c>
      <c r="E2844" t="s">
        <v>83</v>
      </c>
      <c r="F2844" t="s">
        <v>6073</v>
      </c>
      <c r="G2844" t="str">
        <f>"00518704"</f>
        <v>00518704</v>
      </c>
      <c r="H2844">
        <v>7.2</v>
      </c>
      <c r="I2844">
        <v>0</v>
      </c>
      <c r="M2844">
        <v>0</v>
      </c>
      <c r="N2844">
        <v>0</v>
      </c>
      <c r="O2844">
        <v>0</v>
      </c>
      <c r="P2844">
        <v>7.2</v>
      </c>
      <c r="Q2844">
        <v>0</v>
      </c>
      <c r="R2844">
        <v>0</v>
      </c>
      <c r="S2844">
        <v>0</v>
      </c>
      <c r="T2844">
        <v>0</v>
      </c>
      <c r="U2844" s="1">
        <v>0</v>
      </c>
      <c r="V2844">
        <v>7.2</v>
      </c>
    </row>
    <row r="2845" spans="1:22" ht="15">
      <c r="A2845" s="4">
        <v>2838</v>
      </c>
      <c r="B2845">
        <v>2738</v>
      </c>
      <c r="C2845" t="s">
        <v>6074</v>
      </c>
      <c r="D2845" t="s">
        <v>14</v>
      </c>
      <c r="E2845" t="s">
        <v>364</v>
      </c>
      <c r="F2845" t="s">
        <v>6075</v>
      </c>
      <c r="G2845" t="str">
        <f>"00442311"</f>
        <v>00442311</v>
      </c>
      <c r="H2845">
        <v>7.2</v>
      </c>
      <c r="I2845">
        <v>0</v>
      </c>
      <c r="M2845">
        <v>0</v>
      </c>
      <c r="N2845">
        <v>0</v>
      </c>
      <c r="O2845">
        <v>0</v>
      </c>
      <c r="P2845">
        <v>7.2</v>
      </c>
      <c r="Q2845">
        <v>0</v>
      </c>
      <c r="R2845">
        <v>0</v>
      </c>
      <c r="S2845">
        <v>0</v>
      </c>
      <c r="T2845">
        <v>0</v>
      </c>
      <c r="U2845" s="1">
        <v>0</v>
      </c>
      <c r="V2845">
        <v>7.2</v>
      </c>
    </row>
    <row r="2846" spans="1:22" ht="15">
      <c r="A2846" s="4">
        <v>2839</v>
      </c>
      <c r="B2846">
        <v>1799</v>
      </c>
      <c r="C2846" t="s">
        <v>2317</v>
      </c>
      <c r="D2846" t="s">
        <v>1492</v>
      </c>
      <c r="E2846" t="s">
        <v>157</v>
      </c>
      <c r="F2846" t="s">
        <v>6076</v>
      </c>
      <c r="G2846" t="str">
        <f>"00528281"</f>
        <v>00528281</v>
      </c>
      <c r="H2846">
        <v>7.2</v>
      </c>
      <c r="I2846">
        <v>0</v>
      </c>
      <c r="M2846">
        <v>0</v>
      </c>
      <c r="N2846">
        <v>0</v>
      </c>
      <c r="O2846">
        <v>0</v>
      </c>
      <c r="P2846">
        <v>7.2</v>
      </c>
      <c r="Q2846">
        <v>0</v>
      </c>
      <c r="R2846">
        <v>0</v>
      </c>
      <c r="S2846">
        <v>0</v>
      </c>
      <c r="T2846">
        <v>0</v>
      </c>
      <c r="U2846" s="1">
        <v>0</v>
      </c>
      <c r="V2846">
        <v>7.2</v>
      </c>
    </row>
    <row r="2847" spans="1:22" ht="15">
      <c r="A2847" s="4">
        <v>2840</v>
      </c>
      <c r="B2847">
        <v>1704</v>
      </c>
      <c r="C2847" t="s">
        <v>6077</v>
      </c>
      <c r="D2847" t="s">
        <v>6078</v>
      </c>
      <c r="E2847" t="s">
        <v>186</v>
      </c>
      <c r="F2847" t="s">
        <v>6079</v>
      </c>
      <c r="G2847" t="str">
        <f>"00520568"</f>
        <v>00520568</v>
      </c>
      <c r="H2847">
        <v>7.2</v>
      </c>
      <c r="I2847">
        <v>0</v>
      </c>
      <c r="M2847">
        <v>0</v>
      </c>
      <c r="N2847">
        <v>0</v>
      </c>
      <c r="O2847">
        <v>0</v>
      </c>
      <c r="P2847">
        <v>7.2</v>
      </c>
      <c r="Q2847">
        <v>0</v>
      </c>
      <c r="R2847">
        <v>0</v>
      </c>
      <c r="S2847">
        <v>0</v>
      </c>
      <c r="T2847">
        <v>0</v>
      </c>
      <c r="U2847" s="1">
        <v>0</v>
      </c>
      <c r="V2847">
        <v>7.2</v>
      </c>
    </row>
    <row r="2848" spans="1:22" ht="15">
      <c r="A2848" s="4">
        <v>2841</v>
      </c>
      <c r="B2848">
        <v>3181</v>
      </c>
      <c r="C2848" t="s">
        <v>6080</v>
      </c>
      <c r="D2848" t="s">
        <v>121</v>
      </c>
      <c r="E2848" t="s">
        <v>19</v>
      </c>
      <c r="F2848" t="s">
        <v>6081</v>
      </c>
      <c r="G2848" t="str">
        <f>"00520402"</f>
        <v>00520402</v>
      </c>
      <c r="H2848">
        <v>7.2</v>
      </c>
      <c r="I2848">
        <v>0</v>
      </c>
      <c r="M2848">
        <v>0</v>
      </c>
      <c r="N2848">
        <v>0</v>
      </c>
      <c r="O2848">
        <v>0</v>
      </c>
      <c r="P2848">
        <v>7.2</v>
      </c>
      <c r="Q2848">
        <v>0</v>
      </c>
      <c r="R2848">
        <v>0</v>
      </c>
      <c r="S2848">
        <v>0</v>
      </c>
      <c r="T2848">
        <v>0</v>
      </c>
      <c r="U2848" s="1">
        <v>0</v>
      </c>
      <c r="V2848">
        <v>7.2</v>
      </c>
    </row>
    <row r="2849" spans="1:22" ht="15">
      <c r="A2849" s="4">
        <v>2842</v>
      </c>
      <c r="B2849">
        <v>3423</v>
      </c>
      <c r="C2849" t="s">
        <v>6082</v>
      </c>
      <c r="D2849" t="s">
        <v>1492</v>
      </c>
      <c r="E2849" t="s">
        <v>11</v>
      </c>
      <c r="F2849" t="s">
        <v>6083</v>
      </c>
      <c r="G2849" t="str">
        <f>"00532283"</f>
        <v>00532283</v>
      </c>
      <c r="H2849">
        <v>7.2</v>
      </c>
      <c r="I2849">
        <v>0</v>
      </c>
      <c r="M2849">
        <v>0</v>
      </c>
      <c r="N2849">
        <v>0</v>
      </c>
      <c r="O2849">
        <v>0</v>
      </c>
      <c r="P2849">
        <v>7.2</v>
      </c>
      <c r="Q2849">
        <v>0</v>
      </c>
      <c r="R2849">
        <v>0</v>
      </c>
      <c r="S2849">
        <v>0</v>
      </c>
      <c r="T2849">
        <v>0</v>
      </c>
      <c r="U2849" s="1">
        <v>0</v>
      </c>
      <c r="V2849">
        <v>7.2</v>
      </c>
    </row>
    <row r="2850" spans="1:22" ht="15">
      <c r="A2850" s="4">
        <v>2843</v>
      </c>
      <c r="B2850">
        <v>297</v>
      </c>
      <c r="C2850" t="s">
        <v>1088</v>
      </c>
      <c r="D2850" t="s">
        <v>211</v>
      </c>
      <c r="E2850" t="s">
        <v>51</v>
      </c>
      <c r="F2850" t="s">
        <v>6084</v>
      </c>
      <c r="G2850" t="str">
        <f>"00155468"</f>
        <v>00155468</v>
      </c>
      <c r="H2850">
        <v>7.2</v>
      </c>
      <c r="I2850">
        <v>0</v>
      </c>
      <c r="M2850">
        <v>0</v>
      </c>
      <c r="N2850">
        <v>0</v>
      </c>
      <c r="O2850">
        <v>0</v>
      </c>
      <c r="P2850">
        <v>7.2</v>
      </c>
      <c r="Q2850">
        <v>0</v>
      </c>
      <c r="R2850">
        <v>0</v>
      </c>
      <c r="S2850">
        <v>0</v>
      </c>
      <c r="T2850">
        <v>0</v>
      </c>
      <c r="U2850" s="1">
        <v>0</v>
      </c>
      <c r="V2850">
        <v>7.2</v>
      </c>
    </row>
    <row r="2851" spans="1:22" ht="15">
      <c r="A2851" s="4">
        <v>2844</v>
      </c>
      <c r="B2851">
        <v>1416</v>
      </c>
      <c r="C2851" t="s">
        <v>6085</v>
      </c>
      <c r="D2851" t="s">
        <v>6086</v>
      </c>
      <c r="E2851" t="s">
        <v>344</v>
      </c>
      <c r="F2851" t="s">
        <v>6087</v>
      </c>
      <c r="G2851" t="str">
        <f>"00429935"</f>
        <v>00429935</v>
      </c>
      <c r="H2851">
        <v>7.2</v>
      </c>
      <c r="I2851">
        <v>0</v>
      </c>
      <c r="M2851">
        <v>0</v>
      </c>
      <c r="N2851">
        <v>0</v>
      </c>
      <c r="O2851">
        <v>0</v>
      </c>
      <c r="P2851">
        <v>7.2</v>
      </c>
      <c r="Q2851">
        <v>0</v>
      </c>
      <c r="R2851">
        <v>0</v>
      </c>
      <c r="S2851">
        <v>0</v>
      </c>
      <c r="T2851">
        <v>0</v>
      </c>
      <c r="U2851" s="1">
        <v>0</v>
      </c>
      <c r="V2851">
        <v>7.2</v>
      </c>
    </row>
    <row r="2852" spans="1:22" ht="15">
      <c r="A2852" s="4">
        <v>2845</v>
      </c>
      <c r="B2852">
        <v>3238</v>
      </c>
      <c r="C2852" t="s">
        <v>1272</v>
      </c>
      <c r="D2852" t="s">
        <v>189</v>
      </c>
      <c r="E2852" t="s">
        <v>73</v>
      </c>
      <c r="F2852" t="s">
        <v>6088</v>
      </c>
      <c r="G2852" t="str">
        <f>"00484368"</f>
        <v>00484368</v>
      </c>
      <c r="H2852">
        <v>7.2</v>
      </c>
      <c r="I2852">
        <v>0</v>
      </c>
      <c r="M2852">
        <v>0</v>
      </c>
      <c r="N2852">
        <v>0</v>
      </c>
      <c r="O2852">
        <v>0</v>
      </c>
      <c r="P2852">
        <v>7.2</v>
      </c>
      <c r="Q2852">
        <v>0</v>
      </c>
      <c r="R2852">
        <v>0</v>
      </c>
      <c r="S2852">
        <v>0</v>
      </c>
      <c r="T2852">
        <v>0</v>
      </c>
      <c r="U2852" s="1">
        <v>0</v>
      </c>
      <c r="V2852">
        <v>7.2</v>
      </c>
    </row>
    <row r="2853" spans="1:22" ht="15">
      <c r="A2853" s="4">
        <v>2846</v>
      </c>
      <c r="B2853">
        <v>2388</v>
      </c>
      <c r="C2853" t="s">
        <v>6089</v>
      </c>
      <c r="D2853" t="s">
        <v>102</v>
      </c>
      <c r="E2853" t="s">
        <v>4535</v>
      </c>
      <c r="F2853" t="s">
        <v>6090</v>
      </c>
      <c r="G2853" t="str">
        <f>"00533797"</f>
        <v>00533797</v>
      </c>
      <c r="H2853">
        <v>7.2</v>
      </c>
      <c r="I2853">
        <v>0</v>
      </c>
      <c r="M2853">
        <v>0</v>
      </c>
      <c r="N2853">
        <v>0</v>
      </c>
      <c r="O2853">
        <v>0</v>
      </c>
      <c r="P2853">
        <v>7.2</v>
      </c>
      <c r="Q2853">
        <v>0</v>
      </c>
      <c r="R2853">
        <v>0</v>
      </c>
      <c r="S2853">
        <v>0</v>
      </c>
      <c r="T2853">
        <v>0</v>
      </c>
      <c r="U2853" s="1">
        <v>0</v>
      </c>
      <c r="V2853">
        <v>7.2</v>
      </c>
    </row>
    <row r="2854" spans="1:22" ht="15">
      <c r="A2854" s="4">
        <v>2847</v>
      </c>
      <c r="B2854">
        <v>751</v>
      </c>
      <c r="C2854" t="s">
        <v>6091</v>
      </c>
      <c r="D2854" t="s">
        <v>799</v>
      </c>
      <c r="E2854" t="s">
        <v>732</v>
      </c>
      <c r="F2854" t="s">
        <v>6092</v>
      </c>
      <c r="G2854" t="str">
        <f>"00522895"</f>
        <v>00522895</v>
      </c>
      <c r="H2854">
        <v>7.2</v>
      </c>
      <c r="I2854">
        <v>0</v>
      </c>
      <c r="M2854">
        <v>0</v>
      </c>
      <c r="N2854">
        <v>0</v>
      </c>
      <c r="O2854">
        <v>0</v>
      </c>
      <c r="P2854">
        <v>7.2</v>
      </c>
      <c r="Q2854">
        <v>0</v>
      </c>
      <c r="R2854">
        <v>0</v>
      </c>
      <c r="S2854">
        <v>0</v>
      </c>
      <c r="T2854">
        <v>0</v>
      </c>
      <c r="U2854" s="1">
        <v>0</v>
      </c>
      <c r="V2854">
        <v>7.2</v>
      </c>
    </row>
    <row r="2855" spans="1:22" ht="15">
      <c r="A2855" s="4">
        <v>2848</v>
      </c>
      <c r="B2855">
        <v>1967</v>
      </c>
      <c r="C2855" t="s">
        <v>2882</v>
      </c>
      <c r="D2855" t="s">
        <v>68</v>
      </c>
      <c r="E2855" t="s">
        <v>712</v>
      </c>
      <c r="F2855" t="s">
        <v>6093</v>
      </c>
      <c r="G2855" t="str">
        <f>"00149040"</f>
        <v>00149040</v>
      </c>
      <c r="H2855">
        <v>7.2</v>
      </c>
      <c r="I2855">
        <v>0</v>
      </c>
      <c r="M2855">
        <v>0</v>
      </c>
      <c r="N2855">
        <v>0</v>
      </c>
      <c r="O2855">
        <v>0</v>
      </c>
      <c r="P2855">
        <v>7.2</v>
      </c>
      <c r="Q2855">
        <v>0</v>
      </c>
      <c r="R2855">
        <v>0</v>
      </c>
      <c r="S2855">
        <v>0</v>
      </c>
      <c r="T2855">
        <v>0</v>
      </c>
      <c r="U2855" s="1">
        <v>0</v>
      </c>
      <c r="V2855">
        <v>7.2</v>
      </c>
    </row>
    <row r="2856" spans="1:22" ht="15">
      <c r="A2856" s="4">
        <v>2849</v>
      </c>
      <c r="B2856">
        <v>555</v>
      </c>
      <c r="C2856" t="s">
        <v>6094</v>
      </c>
      <c r="D2856" t="s">
        <v>6095</v>
      </c>
      <c r="E2856" t="s">
        <v>6096</v>
      </c>
      <c r="F2856" t="s">
        <v>6097</v>
      </c>
      <c r="G2856" t="str">
        <f>"00313311"</f>
        <v>00313311</v>
      </c>
      <c r="H2856">
        <v>7.2</v>
      </c>
      <c r="I2856">
        <v>0</v>
      </c>
      <c r="M2856">
        <v>0</v>
      </c>
      <c r="N2856">
        <v>0</v>
      </c>
      <c r="O2856">
        <v>0</v>
      </c>
      <c r="P2856">
        <v>7.2</v>
      </c>
      <c r="Q2856">
        <v>0</v>
      </c>
      <c r="R2856">
        <v>0</v>
      </c>
      <c r="S2856">
        <v>0</v>
      </c>
      <c r="T2856">
        <v>0</v>
      </c>
      <c r="U2856" s="1">
        <v>0</v>
      </c>
      <c r="V2856">
        <v>7.2</v>
      </c>
    </row>
    <row r="2857" spans="1:22" ht="15">
      <c r="A2857" s="4">
        <v>2850</v>
      </c>
      <c r="B2857">
        <v>2801</v>
      </c>
      <c r="C2857" t="s">
        <v>2087</v>
      </c>
      <c r="D2857" t="s">
        <v>6098</v>
      </c>
      <c r="E2857" t="s">
        <v>11</v>
      </c>
      <c r="F2857" t="s">
        <v>6099</v>
      </c>
      <c r="G2857" t="str">
        <f>"00533587"</f>
        <v>00533587</v>
      </c>
      <c r="H2857">
        <v>7.2</v>
      </c>
      <c r="I2857">
        <v>0</v>
      </c>
      <c r="M2857">
        <v>0</v>
      </c>
      <c r="N2857">
        <v>0</v>
      </c>
      <c r="O2857">
        <v>0</v>
      </c>
      <c r="P2857">
        <v>7.2</v>
      </c>
      <c r="Q2857">
        <v>0</v>
      </c>
      <c r="R2857">
        <v>0</v>
      </c>
      <c r="S2857">
        <v>0</v>
      </c>
      <c r="T2857">
        <v>0</v>
      </c>
      <c r="U2857" s="1">
        <v>0</v>
      </c>
      <c r="V2857">
        <v>7.2</v>
      </c>
    </row>
    <row r="2858" spans="1:22" ht="15">
      <c r="A2858" s="4">
        <v>2851</v>
      </c>
      <c r="B2858">
        <v>1735</v>
      </c>
      <c r="C2858" t="s">
        <v>6100</v>
      </c>
      <c r="D2858" t="s">
        <v>127</v>
      </c>
      <c r="E2858" t="s">
        <v>23</v>
      </c>
      <c r="F2858" t="s">
        <v>6101</v>
      </c>
      <c r="G2858" t="str">
        <f>"00530353"</f>
        <v>00530353</v>
      </c>
      <c r="H2858">
        <v>7.2</v>
      </c>
      <c r="I2858">
        <v>0</v>
      </c>
      <c r="M2858">
        <v>0</v>
      </c>
      <c r="N2858">
        <v>0</v>
      </c>
      <c r="O2858">
        <v>0</v>
      </c>
      <c r="P2858">
        <v>7.2</v>
      </c>
      <c r="Q2858">
        <v>0</v>
      </c>
      <c r="R2858">
        <v>0</v>
      </c>
      <c r="S2858">
        <v>0</v>
      </c>
      <c r="T2858">
        <v>0</v>
      </c>
      <c r="U2858" s="1">
        <v>0</v>
      </c>
      <c r="V2858">
        <v>7.2</v>
      </c>
    </row>
    <row r="2859" spans="1:22" ht="15">
      <c r="A2859" s="4">
        <v>2852</v>
      </c>
      <c r="B2859">
        <v>1520</v>
      </c>
      <c r="C2859" t="s">
        <v>6102</v>
      </c>
      <c r="D2859" t="s">
        <v>102</v>
      </c>
      <c r="E2859" t="s">
        <v>59</v>
      </c>
      <c r="F2859" t="s">
        <v>6103</v>
      </c>
      <c r="G2859" t="str">
        <f>"00049551"</f>
        <v>00049551</v>
      </c>
      <c r="H2859">
        <v>7.2</v>
      </c>
      <c r="I2859">
        <v>0</v>
      </c>
      <c r="M2859">
        <v>0</v>
      </c>
      <c r="N2859">
        <v>0</v>
      </c>
      <c r="O2859">
        <v>0</v>
      </c>
      <c r="P2859">
        <v>7.2</v>
      </c>
      <c r="Q2859">
        <v>0</v>
      </c>
      <c r="R2859">
        <v>0</v>
      </c>
      <c r="S2859">
        <v>0</v>
      </c>
      <c r="T2859">
        <v>0</v>
      </c>
      <c r="U2859" s="1">
        <v>0</v>
      </c>
      <c r="V2859">
        <v>7.2</v>
      </c>
    </row>
    <row r="2860" spans="1:22" ht="15">
      <c r="A2860" s="4">
        <v>2853</v>
      </c>
      <c r="B2860">
        <v>163</v>
      </c>
      <c r="C2860" t="s">
        <v>6104</v>
      </c>
      <c r="D2860" t="s">
        <v>1527</v>
      </c>
      <c r="E2860" t="s">
        <v>30</v>
      </c>
      <c r="F2860" t="s">
        <v>6105</v>
      </c>
      <c r="G2860" t="str">
        <f>"00515791"</f>
        <v>00515791</v>
      </c>
      <c r="H2860">
        <v>7.2</v>
      </c>
      <c r="I2860">
        <v>0</v>
      </c>
      <c r="M2860">
        <v>0</v>
      </c>
      <c r="N2860">
        <v>0</v>
      </c>
      <c r="O2860">
        <v>0</v>
      </c>
      <c r="P2860">
        <v>7.2</v>
      </c>
      <c r="Q2860">
        <v>0</v>
      </c>
      <c r="R2860">
        <v>0</v>
      </c>
      <c r="S2860">
        <v>0</v>
      </c>
      <c r="T2860">
        <v>0</v>
      </c>
      <c r="U2860" s="1">
        <v>0</v>
      </c>
      <c r="V2860">
        <v>7.2</v>
      </c>
    </row>
    <row r="2861" spans="1:22" ht="15">
      <c r="A2861" s="4">
        <v>2854</v>
      </c>
      <c r="B2861">
        <v>2534</v>
      </c>
      <c r="C2861" t="s">
        <v>1832</v>
      </c>
      <c r="D2861" t="s">
        <v>511</v>
      </c>
      <c r="E2861" t="s">
        <v>225</v>
      </c>
      <c r="F2861" t="s">
        <v>6106</v>
      </c>
      <c r="G2861" t="str">
        <f>"00317263"</f>
        <v>00317263</v>
      </c>
      <c r="H2861">
        <v>7.2</v>
      </c>
      <c r="I2861">
        <v>0</v>
      </c>
      <c r="M2861">
        <v>0</v>
      </c>
      <c r="N2861">
        <v>0</v>
      </c>
      <c r="O2861">
        <v>0</v>
      </c>
      <c r="P2861">
        <v>7.2</v>
      </c>
      <c r="Q2861">
        <v>0</v>
      </c>
      <c r="R2861">
        <v>0</v>
      </c>
      <c r="S2861">
        <v>0</v>
      </c>
      <c r="T2861">
        <v>0</v>
      </c>
      <c r="U2861" s="1">
        <v>0</v>
      </c>
      <c r="V2861">
        <v>7.2</v>
      </c>
    </row>
    <row r="2862" spans="1:22" ht="15">
      <c r="A2862" s="4">
        <v>2855</v>
      </c>
      <c r="B2862">
        <v>3074</v>
      </c>
      <c r="C2862" t="s">
        <v>6107</v>
      </c>
      <c r="D2862" t="s">
        <v>6108</v>
      </c>
      <c r="E2862" t="s">
        <v>447</v>
      </c>
      <c r="F2862" t="s">
        <v>6109</v>
      </c>
      <c r="G2862" t="str">
        <f>"00531074"</f>
        <v>00531074</v>
      </c>
      <c r="H2862">
        <v>7.2</v>
      </c>
      <c r="I2862">
        <v>0</v>
      </c>
      <c r="M2862">
        <v>0</v>
      </c>
      <c r="N2862">
        <v>0</v>
      </c>
      <c r="O2862">
        <v>0</v>
      </c>
      <c r="P2862">
        <v>7.2</v>
      </c>
      <c r="Q2862">
        <v>0</v>
      </c>
      <c r="R2862">
        <v>0</v>
      </c>
      <c r="S2862">
        <v>0</v>
      </c>
      <c r="T2862">
        <v>0</v>
      </c>
      <c r="U2862" s="1">
        <v>0</v>
      </c>
      <c r="V2862">
        <v>7.2</v>
      </c>
    </row>
    <row r="2863" spans="1:22" ht="15">
      <c r="A2863" s="4">
        <v>2856</v>
      </c>
      <c r="B2863">
        <v>2349</v>
      </c>
      <c r="C2863" t="s">
        <v>6110</v>
      </c>
      <c r="D2863" t="s">
        <v>93</v>
      </c>
      <c r="E2863" t="s">
        <v>295</v>
      </c>
      <c r="F2863" t="s">
        <v>6111</v>
      </c>
      <c r="G2863" t="str">
        <f>"00511323"</f>
        <v>00511323</v>
      </c>
      <c r="H2863">
        <v>0</v>
      </c>
      <c r="I2863">
        <v>0</v>
      </c>
      <c r="M2863">
        <v>4</v>
      </c>
      <c r="N2863">
        <v>0</v>
      </c>
      <c r="O2863">
        <v>0</v>
      </c>
      <c r="P2863">
        <v>4</v>
      </c>
      <c r="Q2863">
        <v>0</v>
      </c>
      <c r="R2863">
        <v>0</v>
      </c>
      <c r="S2863">
        <v>3</v>
      </c>
      <c r="T2863">
        <v>0</v>
      </c>
      <c r="U2863" s="1">
        <v>0</v>
      </c>
      <c r="V2863">
        <v>7</v>
      </c>
    </row>
    <row r="2864" spans="1:22" ht="15">
      <c r="A2864" s="4">
        <v>2857</v>
      </c>
      <c r="B2864">
        <v>1105</v>
      </c>
      <c r="C2864" t="s">
        <v>5729</v>
      </c>
      <c r="D2864" t="s">
        <v>14</v>
      </c>
      <c r="E2864" t="s">
        <v>197</v>
      </c>
      <c r="F2864" t="s">
        <v>6112</v>
      </c>
      <c r="G2864" t="str">
        <f>"00509045"</f>
        <v>00509045</v>
      </c>
      <c r="H2864">
        <v>0</v>
      </c>
      <c r="I2864">
        <v>0</v>
      </c>
      <c r="M2864">
        <v>4</v>
      </c>
      <c r="N2864">
        <v>0</v>
      </c>
      <c r="O2864">
        <v>0</v>
      </c>
      <c r="P2864">
        <v>4</v>
      </c>
      <c r="Q2864">
        <v>0</v>
      </c>
      <c r="R2864">
        <v>0</v>
      </c>
      <c r="S2864">
        <v>3</v>
      </c>
      <c r="T2864">
        <v>0</v>
      </c>
      <c r="U2864" s="1">
        <v>0</v>
      </c>
      <c r="V2864">
        <v>7</v>
      </c>
    </row>
    <row r="2865" spans="1:22" ht="15">
      <c r="A2865" s="4">
        <v>2858</v>
      </c>
      <c r="B2865">
        <v>3353</v>
      </c>
      <c r="C2865" t="s">
        <v>6113</v>
      </c>
      <c r="D2865" t="s">
        <v>14</v>
      </c>
      <c r="E2865" t="s">
        <v>41</v>
      </c>
      <c r="F2865" t="s">
        <v>6114</v>
      </c>
      <c r="G2865" t="str">
        <f>"00530793"</f>
        <v>00530793</v>
      </c>
      <c r="H2865">
        <v>4</v>
      </c>
      <c r="I2865">
        <v>0</v>
      </c>
      <c r="M2865">
        <v>0</v>
      </c>
      <c r="N2865">
        <v>0</v>
      </c>
      <c r="O2865">
        <v>0</v>
      </c>
      <c r="P2865">
        <v>4</v>
      </c>
      <c r="Q2865">
        <v>0</v>
      </c>
      <c r="R2865">
        <v>0</v>
      </c>
      <c r="S2865">
        <v>3</v>
      </c>
      <c r="T2865">
        <v>0</v>
      </c>
      <c r="U2865" s="1">
        <v>0</v>
      </c>
      <c r="V2865">
        <v>7</v>
      </c>
    </row>
    <row r="2866" spans="1:22" ht="15">
      <c r="A2866" s="4">
        <v>2859</v>
      </c>
      <c r="B2866">
        <v>2983</v>
      </c>
      <c r="C2866" t="s">
        <v>6115</v>
      </c>
      <c r="D2866" t="s">
        <v>14</v>
      </c>
      <c r="E2866" t="s">
        <v>157</v>
      </c>
      <c r="F2866" t="s">
        <v>6116</v>
      </c>
      <c r="G2866" t="str">
        <f>"00468010"</f>
        <v>00468010</v>
      </c>
      <c r="H2866">
        <v>0</v>
      </c>
      <c r="I2866">
        <v>0</v>
      </c>
      <c r="M2866">
        <v>4</v>
      </c>
      <c r="N2866">
        <v>0</v>
      </c>
      <c r="O2866">
        <v>0</v>
      </c>
      <c r="P2866">
        <v>4</v>
      </c>
      <c r="Q2866">
        <v>0</v>
      </c>
      <c r="R2866">
        <v>0</v>
      </c>
      <c r="S2866">
        <v>3</v>
      </c>
      <c r="T2866">
        <v>0</v>
      </c>
      <c r="U2866" s="1">
        <v>0</v>
      </c>
      <c r="V2866">
        <v>7</v>
      </c>
    </row>
    <row r="2867" spans="1:22" ht="15">
      <c r="A2867" s="4">
        <v>2860</v>
      </c>
      <c r="B2867">
        <v>1508</v>
      </c>
      <c r="C2867" t="s">
        <v>6117</v>
      </c>
      <c r="D2867" t="s">
        <v>945</v>
      </c>
      <c r="E2867" t="s">
        <v>6118</v>
      </c>
      <c r="F2867" t="s">
        <v>6119</v>
      </c>
      <c r="G2867" t="str">
        <f>"00479590"</f>
        <v>00479590</v>
      </c>
      <c r="H2867">
        <v>0</v>
      </c>
      <c r="I2867">
        <v>0</v>
      </c>
      <c r="M2867">
        <v>4</v>
      </c>
      <c r="N2867">
        <v>0</v>
      </c>
      <c r="O2867">
        <v>0</v>
      </c>
      <c r="P2867">
        <v>4</v>
      </c>
      <c r="Q2867">
        <v>0</v>
      </c>
      <c r="R2867">
        <v>0</v>
      </c>
      <c r="S2867">
        <v>3</v>
      </c>
      <c r="T2867">
        <v>0</v>
      </c>
      <c r="U2867" s="1">
        <v>0</v>
      </c>
      <c r="V2867">
        <v>7</v>
      </c>
    </row>
    <row r="2868" spans="1:22" ht="15">
      <c r="A2868" s="4">
        <v>2861</v>
      </c>
      <c r="B2868">
        <v>1129</v>
      </c>
      <c r="C2868" t="s">
        <v>6120</v>
      </c>
      <c r="D2868" t="s">
        <v>1836</v>
      </c>
      <c r="E2868" t="s">
        <v>6121</v>
      </c>
      <c r="F2868" t="s">
        <v>6122</v>
      </c>
      <c r="G2868" t="str">
        <f>"00531427"</f>
        <v>00531427</v>
      </c>
      <c r="H2868">
        <v>0</v>
      </c>
      <c r="I2868">
        <v>0</v>
      </c>
      <c r="M2868">
        <v>0</v>
      </c>
      <c r="N2868">
        <v>0</v>
      </c>
      <c r="O2868">
        <v>0</v>
      </c>
      <c r="P2868">
        <v>0</v>
      </c>
      <c r="Q2868">
        <v>7</v>
      </c>
      <c r="R2868">
        <v>7</v>
      </c>
      <c r="S2868">
        <v>0</v>
      </c>
      <c r="T2868">
        <v>0</v>
      </c>
      <c r="U2868" s="1">
        <v>0</v>
      </c>
      <c r="V2868">
        <v>7</v>
      </c>
    </row>
    <row r="2869" spans="1:22" ht="15">
      <c r="A2869" s="4">
        <v>2862</v>
      </c>
      <c r="B2869">
        <v>1560</v>
      </c>
      <c r="C2869" t="s">
        <v>96</v>
      </c>
      <c r="D2869" t="s">
        <v>173</v>
      </c>
      <c r="E2869" t="s">
        <v>90</v>
      </c>
      <c r="F2869" t="s">
        <v>6123</v>
      </c>
      <c r="G2869" t="str">
        <f>"00272506"</f>
        <v>00272506</v>
      </c>
      <c r="H2869">
        <v>0</v>
      </c>
      <c r="I2869">
        <v>0</v>
      </c>
      <c r="M2869">
        <v>4</v>
      </c>
      <c r="N2869">
        <v>0</v>
      </c>
      <c r="O2869">
        <v>0</v>
      </c>
      <c r="P2869">
        <v>4</v>
      </c>
      <c r="Q2869">
        <v>0</v>
      </c>
      <c r="R2869">
        <v>0</v>
      </c>
      <c r="S2869">
        <v>3</v>
      </c>
      <c r="T2869">
        <v>0</v>
      </c>
      <c r="U2869" s="1">
        <v>0</v>
      </c>
      <c r="V2869">
        <v>7</v>
      </c>
    </row>
    <row r="2870" spans="1:22" ht="15">
      <c r="A2870" s="4">
        <v>2863</v>
      </c>
      <c r="B2870">
        <v>3271</v>
      </c>
      <c r="C2870" t="s">
        <v>2512</v>
      </c>
      <c r="D2870" t="s">
        <v>273</v>
      </c>
      <c r="E2870" t="s">
        <v>197</v>
      </c>
      <c r="F2870" t="s">
        <v>6124</v>
      </c>
      <c r="G2870" t="str">
        <f>"00022613"</f>
        <v>00022613</v>
      </c>
      <c r="H2870">
        <v>0</v>
      </c>
      <c r="I2870">
        <v>0</v>
      </c>
      <c r="M2870">
        <v>4</v>
      </c>
      <c r="N2870">
        <v>0</v>
      </c>
      <c r="O2870">
        <v>2</v>
      </c>
      <c r="P2870">
        <v>6</v>
      </c>
      <c r="Q2870">
        <v>0</v>
      </c>
      <c r="R2870">
        <v>0</v>
      </c>
      <c r="S2870">
        <v>0</v>
      </c>
      <c r="T2870">
        <v>0</v>
      </c>
      <c r="U2870" s="1">
        <v>0</v>
      </c>
      <c r="V2870">
        <v>6</v>
      </c>
    </row>
    <row r="2871" spans="1:22" ht="15">
      <c r="A2871" s="4">
        <v>2864</v>
      </c>
      <c r="B2871">
        <v>1138</v>
      </c>
      <c r="C2871" t="s">
        <v>2691</v>
      </c>
      <c r="D2871" t="s">
        <v>58</v>
      </c>
      <c r="E2871" t="s">
        <v>23</v>
      </c>
      <c r="F2871" t="s">
        <v>6125</v>
      </c>
      <c r="G2871" t="str">
        <f>"00531848"</f>
        <v>00531848</v>
      </c>
      <c r="H2871">
        <v>0</v>
      </c>
      <c r="I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6</v>
      </c>
      <c r="T2871">
        <v>0</v>
      </c>
      <c r="U2871" s="1">
        <v>0</v>
      </c>
      <c r="V2871">
        <v>6</v>
      </c>
    </row>
    <row r="2872" spans="1:22" ht="15">
      <c r="A2872" s="4">
        <v>2865</v>
      </c>
      <c r="B2872">
        <v>2957</v>
      </c>
      <c r="C2872" t="s">
        <v>6126</v>
      </c>
      <c r="D2872" t="s">
        <v>156</v>
      </c>
      <c r="E2872" t="s">
        <v>4307</v>
      </c>
      <c r="F2872" t="s">
        <v>6127</v>
      </c>
      <c r="G2872" t="str">
        <f>"00533770"</f>
        <v>00533770</v>
      </c>
      <c r="H2872">
        <v>0</v>
      </c>
      <c r="I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6</v>
      </c>
      <c r="T2872">
        <v>0</v>
      </c>
      <c r="U2872" s="1">
        <v>0</v>
      </c>
      <c r="V2872">
        <v>6</v>
      </c>
    </row>
    <row r="2873" spans="1:22" ht="15">
      <c r="A2873" s="4">
        <v>2866</v>
      </c>
      <c r="B2873">
        <v>3429</v>
      </c>
      <c r="C2873" t="s">
        <v>6128</v>
      </c>
      <c r="D2873" t="s">
        <v>50</v>
      </c>
      <c r="E2873" t="s">
        <v>11</v>
      </c>
      <c r="F2873" t="s">
        <v>6129</v>
      </c>
      <c r="G2873" t="str">
        <f>"00533463"</f>
        <v>00533463</v>
      </c>
      <c r="H2873">
        <v>0</v>
      </c>
      <c r="I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6</v>
      </c>
      <c r="T2873">
        <v>0</v>
      </c>
      <c r="U2873" s="1">
        <v>0</v>
      </c>
      <c r="V2873">
        <v>6</v>
      </c>
    </row>
    <row r="2874" spans="1:22" ht="15">
      <c r="A2874" s="4">
        <v>2867</v>
      </c>
      <c r="B2874">
        <v>2815</v>
      </c>
      <c r="C2874" t="s">
        <v>192</v>
      </c>
      <c r="D2874" t="s">
        <v>273</v>
      </c>
      <c r="E2874" t="s">
        <v>19</v>
      </c>
      <c r="F2874" t="s">
        <v>6130</v>
      </c>
      <c r="G2874" t="str">
        <f>"00518961"</f>
        <v>00518961</v>
      </c>
      <c r="H2874">
        <v>0</v>
      </c>
      <c r="I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6</v>
      </c>
      <c r="T2874">
        <v>0</v>
      </c>
      <c r="U2874" s="1">
        <v>0</v>
      </c>
      <c r="V2874">
        <v>6</v>
      </c>
    </row>
    <row r="2875" spans="1:22" ht="15">
      <c r="A2875" s="4">
        <v>2868</v>
      </c>
      <c r="B2875">
        <v>3411</v>
      </c>
      <c r="C2875" t="s">
        <v>6131</v>
      </c>
      <c r="D2875" t="s">
        <v>89</v>
      </c>
      <c r="E2875" t="s">
        <v>23</v>
      </c>
      <c r="F2875" t="s">
        <v>6132</v>
      </c>
      <c r="G2875" t="str">
        <f>"00532992"</f>
        <v>00532992</v>
      </c>
      <c r="H2875">
        <v>0</v>
      </c>
      <c r="I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6</v>
      </c>
      <c r="T2875">
        <v>0</v>
      </c>
      <c r="U2875" s="1">
        <v>0</v>
      </c>
      <c r="V2875">
        <v>6</v>
      </c>
    </row>
    <row r="2876" spans="1:22" ht="15">
      <c r="A2876" s="4">
        <v>2869</v>
      </c>
      <c r="B2876">
        <v>3359</v>
      </c>
      <c r="C2876" t="s">
        <v>6133</v>
      </c>
      <c r="D2876" t="s">
        <v>89</v>
      </c>
      <c r="E2876" t="s">
        <v>197</v>
      </c>
      <c r="F2876" t="s">
        <v>6134</v>
      </c>
      <c r="G2876" t="str">
        <f>"00442043"</f>
        <v>00442043</v>
      </c>
      <c r="H2876">
        <v>0</v>
      </c>
      <c r="I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6</v>
      </c>
      <c r="T2876">
        <v>0</v>
      </c>
      <c r="U2876" s="1">
        <v>0</v>
      </c>
      <c r="V2876">
        <v>6</v>
      </c>
    </row>
    <row r="2877" spans="1:22" ht="15">
      <c r="A2877" s="4">
        <v>2870</v>
      </c>
      <c r="B2877">
        <v>2104</v>
      </c>
      <c r="C2877" t="s">
        <v>5775</v>
      </c>
      <c r="D2877" t="s">
        <v>273</v>
      </c>
      <c r="E2877" t="s">
        <v>41</v>
      </c>
      <c r="F2877" t="s">
        <v>6135</v>
      </c>
      <c r="G2877" t="str">
        <f>"00471715"</f>
        <v>00471715</v>
      </c>
      <c r="H2877">
        <v>0</v>
      </c>
      <c r="I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6</v>
      </c>
      <c r="T2877">
        <v>0</v>
      </c>
      <c r="U2877" s="1">
        <v>0</v>
      </c>
      <c r="V2877">
        <v>6</v>
      </c>
    </row>
    <row r="2878" spans="1:22" ht="15">
      <c r="A2878" s="4">
        <v>2871</v>
      </c>
      <c r="B2878">
        <v>536</v>
      </c>
      <c r="C2878" t="s">
        <v>6136</v>
      </c>
      <c r="D2878" t="s">
        <v>6137</v>
      </c>
      <c r="E2878" t="s">
        <v>6138</v>
      </c>
      <c r="F2878" t="s">
        <v>6139</v>
      </c>
      <c r="G2878" t="str">
        <f>"00441737"</f>
        <v>00441737</v>
      </c>
      <c r="H2878">
        <v>0</v>
      </c>
      <c r="I2878">
        <v>0</v>
      </c>
      <c r="M2878">
        <v>4</v>
      </c>
      <c r="N2878">
        <v>0</v>
      </c>
      <c r="O2878">
        <v>2</v>
      </c>
      <c r="P2878">
        <v>6</v>
      </c>
      <c r="Q2878">
        <v>0</v>
      </c>
      <c r="R2878">
        <v>0</v>
      </c>
      <c r="S2878">
        <v>0</v>
      </c>
      <c r="T2878">
        <v>0</v>
      </c>
      <c r="U2878" s="1">
        <v>0</v>
      </c>
      <c r="V2878">
        <v>6</v>
      </c>
    </row>
    <row r="2879" spans="1:22" ht="15">
      <c r="A2879" s="4">
        <v>2872</v>
      </c>
      <c r="B2879">
        <v>801</v>
      </c>
      <c r="C2879" t="s">
        <v>6140</v>
      </c>
      <c r="D2879" t="s">
        <v>480</v>
      </c>
      <c r="E2879" t="s">
        <v>83</v>
      </c>
      <c r="F2879" t="s">
        <v>6141</v>
      </c>
      <c r="G2879" t="str">
        <f>"00261828"</f>
        <v>00261828</v>
      </c>
      <c r="H2879">
        <v>0</v>
      </c>
      <c r="I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6</v>
      </c>
      <c r="T2879">
        <v>0</v>
      </c>
      <c r="U2879" s="1">
        <v>0</v>
      </c>
      <c r="V2879">
        <v>6</v>
      </c>
    </row>
    <row r="2880" spans="1:22" ht="15">
      <c r="A2880" s="4">
        <v>2873</v>
      </c>
      <c r="B2880">
        <v>1264</v>
      </c>
      <c r="C2880" t="s">
        <v>6142</v>
      </c>
      <c r="D2880" t="s">
        <v>89</v>
      </c>
      <c r="E2880" t="s">
        <v>4161</v>
      </c>
      <c r="F2880" t="s">
        <v>6143</v>
      </c>
      <c r="G2880" t="str">
        <f>"00528802"</f>
        <v>00528802</v>
      </c>
      <c r="H2880">
        <v>5.2</v>
      </c>
      <c r="I2880">
        <v>0</v>
      </c>
      <c r="M2880">
        <v>0</v>
      </c>
      <c r="N2880">
        <v>0</v>
      </c>
      <c r="O2880">
        <v>0</v>
      </c>
      <c r="P2880">
        <v>5.2</v>
      </c>
      <c r="Q2880">
        <v>0</v>
      </c>
      <c r="R2880">
        <v>0</v>
      </c>
      <c r="S2880">
        <v>0</v>
      </c>
      <c r="T2880">
        <v>0</v>
      </c>
      <c r="U2880" s="1">
        <v>0</v>
      </c>
      <c r="V2880">
        <v>5.2</v>
      </c>
    </row>
    <row r="2881" spans="1:22" ht="15">
      <c r="A2881" s="4">
        <v>2874</v>
      </c>
      <c r="B2881">
        <v>1237</v>
      </c>
      <c r="C2881" t="s">
        <v>6144</v>
      </c>
      <c r="D2881" t="s">
        <v>68</v>
      </c>
      <c r="E2881" t="s">
        <v>73</v>
      </c>
      <c r="F2881" t="s">
        <v>6145</v>
      </c>
      <c r="G2881" t="str">
        <f>"201108000074"</f>
        <v>201108000074</v>
      </c>
      <c r="H2881">
        <v>0</v>
      </c>
      <c r="I2881">
        <v>0</v>
      </c>
      <c r="M2881">
        <v>0</v>
      </c>
      <c r="N2881">
        <v>0</v>
      </c>
      <c r="O2881">
        <v>0</v>
      </c>
      <c r="P2881">
        <v>0</v>
      </c>
      <c r="Q2881">
        <v>5</v>
      </c>
      <c r="R2881">
        <v>5</v>
      </c>
      <c r="S2881">
        <v>0</v>
      </c>
      <c r="T2881">
        <v>0</v>
      </c>
      <c r="U2881" s="1">
        <v>0</v>
      </c>
      <c r="V2881">
        <v>5</v>
      </c>
    </row>
    <row r="2882" spans="1:22" ht="15">
      <c r="A2882" s="4">
        <v>2875</v>
      </c>
      <c r="B2882">
        <v>308</v>
      </c>
      <c r="C2882" t="s">
        <v>5755</v>
      </c>
      <c r="D2882" t="s">
        <v>89</v>
      </c>
      <c r="E2882" t="s">
        <v>364</v>
      </c>
      <c r="F2882" t="s">
        <v>6146</v>
      </c>
      <c r="G2882" t="str">
        <f>"00529956"</f>
        <v>00529956</v>
      </c>
      <c r="H2882">
        <v>0</v>
      </c>
      <c r="I2882">
        <v>0</v>
      </c>
      <c r="M2882">
        <v>4</v>
      </c>
      <c r="N2882">
        <v>0</v>
      </c>
      <c r="O2882">
        <v>0</v>
      </c>
      <c r="P2882">
        <v>4</v>
      </c>
      <c r="Q2882">
        <v>0</v>
      </c>
      <c r="R2882">
        <v>0</v>
      </c>
      <c r="S2882">
        <v>0</v>
      </c>
      <c r="T2882">
        <v>0</v>
      </c>
      <c r="U2882" s="1">
        <v>0</v>
      </c>
      <c r="V2882">
        <v>4</v>
      </c>
    </row>
    <row r="2883" spans="1:22" ht="15">
      <c r="A2883" s="4">
        <v>2876</v>
      </c>
      <c r="B2883">
        <v>2917</v>
      </c>
      <c r="C2883" t="s">
        <v>6147</v>
      </c>
      <c r="D2883" t="s">
        <v>26</v>
      </c>
      <c r="E2883" t="s">
        <v>6148</v>
      </c>
      <c r="F2883" t="s">
        <v>6149</v>
      </c>
      <c r="G2883" t="str">
        <f>"00505178"</f>
        <v>00505178</v>
      </c>
      <c r="H2883">
        <v>0</v>
      </c>
      <c r="I2883">
        <v>0</v>
      </c>
      <c r="M2883">
        <v>4</v>
      </c>
      <c r="N2883">
        <v>0</v>
      </c>
      <c r="O2883">
        <v>0</v>
      </c>
      <c r="P2883">
        <v>4</v>
      </c>
      <c r="Q2883">
        <v>0</v>
      </c>
      <c r="R2883">
        <v>0</v>
      </c>
      <c r="S2883">
        <v>0</v>
      </c>
      <c r="T2883">
        <v>0</v>
      </c>
      <c r="U2883" s="1">
        <v>0</v>
      </c>
      <c r="V2883">
        <v>4</v>
      </c>
    </row>
    <row r="2884" spans="1:22" ht="15">
      <c r="A2884" s="4">
        <v>2877</v>
      </c>
      <c r="B2884">
        <v>1926</v>
      </c>
      <c r="C2884" t="s">
        <v>5747</v>
      </c>
      <c r="D2884" t="s">
        <v>170</v>
      </c>
      <c r="E2884" t="s">
        <v>51</v>
      </c>
      <c r="F2884" t="s">
        <v>6150</v>
      </c>
      <c r="G2884" t="str">
        <f>"00532635"</f>
        <v>00532635</v>
      </c>
      <c r="H2884">
        <v>0</v>
      </c>
      <c r="I2884">
        <v>0</v>
      </c>
      <c r="M2884">
        <v>4</v>
      </c>
      <c r="N2884">
        <v>0</v>
      </c>
      <c r="O2884">
        <v>0</v>
      </c>
      <c r="P2884">
        <v>4</v>
      </c>
      <c r="Q2884">
        <v>0</v>
      </c>
      <c r="R2884">
        <v>0</v>
      </c>
      <c r="S2884">
        <v>0</v>
      </c>
      <c r="T2884">
        <v>0</v>
      </c>
      <c r="U2884" s="1">
        <v>0</v>
      </c>
      <c r="V2884">
        <v>4</v>
      </c>
    </row>
    <row r="2885" spans="1:22" ht="15">
      <c r="A2885" s="4">
        <v>2878</v>
      </c>
      <c r="B2885">
        <v>1762</v>
      </c>
      <c r="C2885" t="s">
        <v>6151</v>
      </c>
      <c r="D2885" t="s">
        <v>170</v>
      </c>
      <c r="E2885" t="s">
        <v>59</v>
      </c>
      <c r="F2885" t="s">
        <v>6152</v>
      </c>
      <c r="G2885" t="str">
        <f>"00194954"</f>
        <v>00194954</v>
      </c>
      <c r="H2885">
        <v>0</v>
      </c>
      <c r="I2885">
        <v>0</v>
      </c>
      <c r="M2885">
        <v>4</v>
      </c>
      <c r="N2885">
        <v>0</v>
      </c>
      <c r="O2885">
        <v>0</v>
      </c>
      <c r="P2885">
        <v>4</v>
      </c>
      <c r="Q2885">
        <v>0</v>
      </c>
      <c r="R2885">
        <v>0</v>
      </c>
      <c r="S2885">
        <v>0</v>
      </c>
      <c r="T2885">
        <v>0</v>
      </c>
      <c r="U2885" s="1">
        <v>0</v>
      </c>
      <c r="V2885">
        <v>4</v>
      </c>
    </row>
    <row r="2886" spans="1:22" ht="15">
      <c r="A2886" s="4">
        <v>2879</v>
      </c>
      <c r="B2886">
        <v>2043</v>
      </c>
      <c r="C2886" t="s">
        <v>6153</v>
      </c>
      <c r="D2886" t="s">
        <v>273</v>
      </c>
      <c r="E2886" t="s">
        <v>90</v>
      </c>
      <c r="F2886" t="s">
        <v>6154</v>
      </c>
      <c r="G2886" t="str">
        <f>"00529807"</f>
        <v>00529807</v>
      </c>
      <c r="H2886">
        <v>0</v>
      </c>
      <c r="I2886">
        <v>0</v>
      </c>
      <c r="M2886">
        <v>4</v>
      </c>
      <c r="N2886">
        <v>0</v>
      </c>
      <c r="O2886">
        <v>0</v>
      </c>
      <c r="P2886">
        <v>4</v>
      </c>
      <c r="Q2886">
        <v>0</v>
      </c>
      <c r="R2886">
        <v>0</v>
      </c>
      <c r="S2886">
        <v>0</v>
      </c>
      <c r="T2886">
        <v>0</v>
      </c>
      <c r="U2886" s="1">
        <v>0</v>
      </c>
      <c r="V2886">
        <v>4</v>
      </c>
    </row>
    <row r="2887" spans="1:22" ht="15">
      <c r="A2887" s="4">
        <v>2880</v>
      </c>
      <c r="B2887">
        <v>2887</v>
      </c>
      <c r="C2887" t="s">
        <v>6155</v>
      </c>
      <c r="D2887" t="s">
        <v>6156</v>
      </c>
      <c r="E2887" t="s">
        <v>99</v>
      </c>
      <c r="F2887" t="s">
        <v>6157</v>
      </c>
      <c r="G2887" t="str">
        <f>"00523878"</f>
        <v>00523878</v>
      </c>
      <c r="H2887">
        <v>0</v>
      </c>
      <c r="I2887">
        <v>0</v>
      </c>
      <c r="M2887">
        <v>4</v>
      </c>
      <c r="N2887">
        <v>0</v>
      </c>
      <c r="O2887">
        <v>0</v>
      </c>
      <c r="P2887">
        <v>4</v>
      </c>
      <c r="Q2887">
        <v>0</v>
      </c>
      <c r="R2887">
        <v>0</v>
      </c>
      <c r="S2887">
        <v>0</v>
      </c>
      <c r="T2887">
        <v>0</v>
      </c>
      <c r="U2887" s="1">
        <v>0</v>
      </c>
      <c r="V2887">
        <v>4</v>
      </c>
    </row>
    <row r="2888" spans="1:22" ht="15">
      <c r="A2888" s="4">
        <v>2881</v>
      </c>
      <c r="B2888">
        <v>1409</v>
      </c>
      <c r="C2888" t="s">
        <v>633</v>
      </c>
      <c r="D2888" t="s">
        <v>643</v>
      </c>
      <c r="E2888" t="s">
        <v>23</v>
      </c>
      <c r="F2888" t="s">
        <v>6158</v>
      </c>
      <c r="G2888" t="str">
        <f>"00528352"</f>
        <v>00528352</v>
      </c>
      <c r="H2888">
        <v>0</v>
      </c>
      <c r="I2888">
        <v>0</v>
      </c>
      <c r="M2888">
        <v>4</v>
      </c>
      <c r="N2888">
        <v>0</v>
      </c>
      <c r="O2888">
        <v>0</v>
      </c>
      <c r="P2888">
        <v>4</v>
      </c>
      <c r="Q2888">
        <v>0</v>
      </c>
      <c r="R2888">
        <v>0</v>
      </c>
      <c r="S2888">
        <v>0</v>
      </c>
      <c r="T2888">
        <v>0</v>
      </c>
      <c r="U2888" s="1">
        <v>0</v>
      </c>
      <c r="V2888">
        <v>4</v>
      </c>
    </row>
    <row r="2889" spans="1:22" ht="15">
      <c r="A2889" s="4">
        <v>2882</v>
      </c>
      <c r="B2889">
        <v>1766</v>
      </c>
      <c r="C2889" t="s">
        <v>6159</v>
      </c>
      <c r="D2889" t="s">
        <v>2193</v>
      </c>
      <c r="E2889" t="s">
        <v>327</v>
      </c>
      <c r="F2889" t="s">
        <v>6160</v>
      </c>
      <c r="G2889" t="str">
        <f>"00528299"</f>
        <v>00528299</v>
      </c>
      <c r="H2889">
        <v>0</v>
      </c>
      <c r="I2889">
        <v>0</v>
      </c>
      <c r="L2889">
        <v>4</v>
      </c>
      <c r="M2889">
        <v>0</v>
      </c>
      <c r="N2889">
        <v>4</v>
      </c>
      <c r="O2889">
        <v>0</v>
      </c>
      <c r="P2889">
        <v>4</v>
      </c>
      <c r="Q2889">
        <v>0</v>
      </c>
      <c r="R2889">
        <v>0</v>
      </c>
      <c r="S2889">
        <v>0</v>
      </c>
      <c r="T2889">
        <v>0</v>
      </c>
      <c r="U2889" s="1">
        <v>0</v>
      </c>
      <c r="V2889">
        <v>4</v>
      </c>
    </row>
    <row r="2890" spans="1:22" ht="15">
      <c r="A2890" s="4">
        <v>2883</v>
      </c>
      <c r="B2890">
        <v>817</v>
      </c>
      <c r="C2890" t="s">
        <v>6161</v>
      </c>
      <c r="D2890" t="s">
        <v>1205</v>
      </c>
      <c r="E2890" t="s">
        <v>90</v>
      </c>
      <c r="F2890" t="s">
        <v>6162</v>
      </c>
      <c r="G2890" t="str">
        <f>"00530455"</f>
        <v>00530455</v>
      </c>
      <c r="H2890">
        <v>0</v>
      </c>
      <c r="I2890">
        <v>0</v>
      </c>
      <c r="M2890">
        <v>4</v>
      </c>
      <c r="N2890">
        <v>0</v>
      </c>
      <c r="O2890">
        <v>0</v>
      </c>
      <c r="P2890">
        <v>4</v>
      </c>
      <c r="Q2890">
        <v>0</v>
      </c>
      <c r="R2890">
        <v>0</v>
      </c>
      <c r="S2890">
        <v>0</v>
      </c>
      <c r="T2890">
        <v>0</v>
      </c>
      <c r="U2890" s="1">
        <v>0</v>
      </c>
      <c r="V2890">
        <v>4</v>
      </c>
    </row>
    <row r="2891" spans="1:22" ht="15">
      <c r="A2891" s="4">
        <v>2884</v>
      </c>
      <c r="B2891">
        <v>876</v>
      </c>
      <c r="C2891" t="s">
        <v>6163</v>
      </c>
      <c r="D2891" t="s">
        <v>6164</v>
      </c>
      <c r="E2891" t="s">
        <v>6165</v>
      </c>
      <c r="F2891" t="s">
        <v>6166</v>
      </c>
      <c r="G2891" t="str">
        <f>"00162672"</f>
        <v>00162672</v>
      </c>
      <c r="H2891">
        <v>0</v>
      </c>
      <c r="I2891">
        <v>0</v>
      </c>
      <c r="M2891">
        <v>4</v>
      </c>
      <c r="N2891">
        <v>0</v>
      </c>
      <c r="O2891">
        <v>0</v>
      </c>
      <c r="P2891">
        <v>4</v>
      </c>
      <c r="Q2891">
        <v>0</v>
      </c>
      <c r="R2891">
        <v>0</v>
      </c>
      <c r="S2891">
        <v>0</v>
      </c>
      <c r="T2891">
        <v>0</v>
      </c>
      <c r="U2891" s="1">
        <v>0</v>
      </c>
      <c r="V2891">
        <v>4</v>
      </c>
    </row>
    <row r="2892" spans="1:22" ht="15">
      <c r="A2892" s="4">
        <v>2885</v>
      </c>
      <c r="B2892">
        <v>95</v>
      </c>
      <c r="C2892" t="s">
        <v>6167</v>
      </c>
      <c r="D2892" t="s">
        <v>193</v>
      </c>
      <c r="E2892" t="s">
        <v>190</v>
      </c>
      <c r="F2892" t="s">
        <v>6168</v>
      </c>
      <c r="G2892" t="str">
        <f>"201410006038"</f>
        <v>201410006038</v>
      </c>
      <c r="H2892">
        <v>0</v>
      </c>
      <c r="I2892">
        <v>0</v>
      </c>
      <c r="M2892">
        <v>4</v>
      </c>
      <c r="N2892">
        <v>0</v>
      </c>
      <c r="O2892">
        <v>0</v>
      </c>
      <c r="P2892">
        <v>4</v>
      </c>
      <c r="Q2892">
        <v>0</v>
      </c>
      <c r="R2892">
        <v>0</v>
      </c>
      <c r="S2892">
        <v>0</v>
      </c>
      <c r="T2892">
        <v>0</v>
      </c>
      <c r="U2892" s="1">
        <v>0</v>
      </c>
      <c r="V2892">
        <v>4</v>
      </c>
    </row>
    <row r="2893" spans="1:22" ht="15">
      <c r="A2893" s="4">
        <v>2886</v>
      </c>
      <c r="B2893">
        <v>669</v>
      </c>
      <c r="C2893" t="s">
        <v>4541</v>
      </c>
      <c r="D2893" t="s">
        <v>6169</v>
      </c>
      <c r="E2893" t="s">
        <v>59</v>
      </c>
      <c r="F2893" t="s">
        <v>6170</v>
      </c>
      <c r="G2893" t="str">
        <f>"00516041"</f>
        <v>00516041</v>
      </c>
      <c r="H2893">
        <v>0</v>
      </c>
      <c r="I2893">
        <v>0</v>
      </c>
      <c r="M2893">
        <v>4</v>
      </c>
      <c r="N2893">
        <v>0</v>
      </c>
      <c r="O2893">
        <v>0</v>
      </c>
      <c r="P2893">
        <v>4</v>
      </c>
      <c r="Q2893">
        <v>0</v>
      </c>
      <c r="R2893">
        <v>0</v>
      </c>
      <c r="S2893">
        <v>0</v>
      </c>
      <c r="T2893">
        <v>0</v>
      </c>
      <c r="U2893" s="1">
        <v>0</v>
      </c>
      <c r="V2893">
        <v>4</v>
      </c>
    </row>
    <row r="2894" spans="1:22" ht="15">
      <c r="A2894" s="4">
        <v>2887</v>
      </c>
      <c r="B2894">
        <v>2429</v>
      </c>
      <c r="C2894" t="s">
        <v>2743</v>
      </c>
      <c r="D2894" t="s">
        <v>2579</v>
      </c>
      <c r="E2894" t="s">
        <v>83</v>
      </c>
      <c r="F2894" t="s">
        <v>6171</v>
      </c>
      <c r="G2894" t="str">
        <f>"00533975"</f>
        <v>00533975</v>
      </c>
      <c r="H2894">
        <v>0</v>
      </c>
      <c r="I2894">
        <v>0</v>
      </c>
      <c r="M2894">
        <v>4</v>
      </c>
      <c r="N2894">
        <v>0</v>
      </c>
      <c r="O2894">
        <v>0</v>
      </c>
      <c r="P2894">
        <v>4</v>
      </c>
      <c r="Q2894">
        <v>0</v>
      </c>
      <c r="R2894">
        <v>0</v>
      </c>
      <c r="S2894">
        <v>0</v>
      </c>
      <c r="T2894">
        <v>0</v>
      </c>
      <c r="U2894" s="1">
        <v>0</v>
      </c>
      <c r="V2894">
        <v>4</v>
      </c>
    </row>
    <row r="2895" spans="1:22" ht="15">
      <c r="A2895" s="4">
        <v>2888</v>
      </c>
      <c r="B2895">
        <v>2030</v>
      </c>
      <c r="C2895" t="s">
        <v>6172</v>
      </c>
      <c r="D2895" t="s">
        <v>6173</v>
      </c>
      <c r="E2895" t="s">
        <v>5436</v>
      </c>
      <c r="F2895" t="s">
        <v>6174</v>
      </c>
      <c r="G2895" t="str">
        <f>"00531800"</f>
        <v>00531800</v>
      </c>
      <c r="H2895">
        <v>0</v>
      </c>
      <c r="I2895">
        <v>0</v>
      </c>
      <c r="M2895">
        <v>4</v>
      </c>
      <c r="N2895">
        <v>0</v>
      </c>
      <c r="O2895">
        <v>0</v>
      </c>
      <c r="P2895">
        <v>4</v>
      </c>
      <c r="Q2895">
        <v>0</v>
      </c>
      <c r="R2895">
        <v>0</v>
      </c>
      <c r="S2895">
        <v>0</v>
      </c>
      <c r="T2895">
        <v>0</v>
      </c>
      <c r="U2895" s="1">
        <v>0</v>
      </c>
      <c r="V2895">
        <v>4</v>
      </c>
    </row>
    <row r="2896" spans="1:22" ht="15">
      <c r="A2896" s="4">
        <v>2889</v>
      </c>
      <c r="B2896">
        <v>724</v>
      </c>
      <c r="C2896" t="s">
        <v>6175</v>
      </c>
      <c r="D2896" t="s">
        <v>273</v>
      </c>
      <c r="E2896" t="s">
        <v>73</v>
      </c>
      <c r="F2896" t="s">
        <v>6176</v>
      </c>
      <c r="G2896" t="str">
        <f>"00497687"</f>
        <v>00497687</v>
      </c>
      <c r="H2896">
        <v>0</v>
      </c>
      <c r="I2896">
        <v>0</v>
      </c>
      <c r="M2896">
        <v>4</v>
      </c>
      <c r="N2896">
        <v>0</v>
      </c>
      <c r="O2896">
        <v>0</v>
      </c>
      <c r="P2896">
        <v>4</v>
      </c>
      <c r="Q2896">
        <v>0</v>
      </c>
      <c r="R2896">
        <v>0</v>
      </c>
      <c r="S2896">
        <v>0</v>
      </c>
      <c r="T2896">
        <v>0</v>
      </c>
      <c r="U2896" s="1">
        <v>0</v>
      </c>
      <c r="V2896">
        <v>4</v>
      </c>
    </row>
    <row r="2897" spans="1:22" ht="15">
      <c r="A2897" s="4">
        <v>2890</v>
      </c>
      <c r="B2897">
        <v>1262</v>
      </c>
      <c r="C2897" t="s">
        <v>6177</v>
      </c>
      <c r="D2897" t="s">
        <v>40</v>
      </c>
      <c r="E2897" t="s">
        <v>1497</v>
      </c>
      <c r="F2897" t="s">
        <v>6178</v>
      </c>
      <c r="G2897" t="str">
        <f>"00315239"</f>
        <v>00315239</v>
      </c>
      <c r="H2897">
        <v>0</v>
      </c>
      <c r="I2897">
        <v>0</v>
      </c>
      <c r="L2897">
        <v>4</v>
      </c>
      <c r="M2897">
        <v>0</v>
      </c>
      <c r="N2897">
        <v>4</v>
      </c>
      <c r="O2897">
        <v>0</v>
      </c>
      <c r="P2897">
        <v>4</v>
      </c>
      <c r="Q2897">
        <v>0</v>
      </c>
      <c r="R2897">
        <v>0</v>
      </c>
      <c r="S2897">
        <v>0</v>
      </c>
      <c r="T2897">
        <v>0</v>
      </c>
      <c r="U2897" s="1">
        <v>0</v>
      </c>
      <c r="V2897">
        <v>4</v>
      </c>
    </row>
    <row r="2898" spans="1:22" ht="15">
      <c r="A2898" s="4">
        <v>2891</v>
      </c>
      <c r="B2898">
        <v>2193</v>
      </c>
      <c r="C2898" t="s">
        <v>6179</v>
      </c>
      <c r="D2898" t="s">
        <v>89</v>
      </c>
      <c r="E2898" t="s">
        <v>1180</v>
      </c>
      <c r="F2898" t="s">
        <v>6180</v>
      </c>
      <c r="G2898" t="str">
        <f>"00507345"</f>
        <v>00507345</v>
      </c>
      <c r="H2898">
        <v>0</v>
      </c>
      <c r="I2898">
        <v>0</v>
      </c>
      <c r="M2898">
        <v>4</v>
      </c>
      <c r="N2898">
        <v>0</v>
      </c>
      <c r="O2898">
        <v>0</v>
      </c>
      <c r="P2898">
        <v>4</v>
      </c>
      <c r="Q2898">
        <v>0</v>
      </c>
      <c r="R2898">
        <v>0</v>
      </c>
      <c r="S2898">
        <v>0</v>
      </c>
      <c r="T2898">
        <v>0</v>
      </c>
      <c r="U2898" s="1">
        <v>0</v>
      </c>
      <c r="V2898">
        <v>4</v>
      </c>
    </row>
    <row r="2899" spans="1:22" ht="15">
      <c r="A2899" s="4">
        <v>2892</v>
      </c>
      <c r="B2899">
        <v>2612</v>
      </c>
      <c r="C2899" t="s">
        <v>1176</v>
      </c>
      <c r="D2899" t="s">
        <v>89</v>
      </c>
      <c r="E2899" t="s">
        <v>73</v>
      </c>
      <c r="F2899" t="s">
        <v>6181</v>
      </c>
      <c r="G2899" t="str">
        <f>"00531423"</f>
        <v>00531423</v>
      </c>
      <c r="H2899">
        <v>0</v>
      </c>
      <c r="I2899">
        <v>0</v>
      </c>
      <c r="M2899">
        <v>4</v>
      </c>
      <c r="N2899">
        <v>0</v>
      </c>
      <c r="O2899">
        <v>0</v>
      </c>
      <c r="P2899">
        <v>4</v>
      </c>
      <c r="Q2899">
        <v>0</v>
      </c>
      <c r="R2899">
        <v>0</v>
      </c>
      <c r="S2899">
        <v>0</v>
      </c>
      <c r="T2899">
        <v>0</v>
      </c>
      <c r="U2899" s="1">
        <v>0</v>
      </c>
      <c r="V2899">
        <v>4</v>
      </c>
    </row>
    <row r="2900" spans="1:22" ht="15">
      <c r="A2900" s="4">
        <v>2893</v>
      </c>
      <c r="B2900">
        <v>2425</v>
      </c>
      <c r="C2900" t="s">
        <v>630</v>
      </c>
      <c r="D2900" t="s">
        <v>127</v>
      </c>
      <c r="E2900" t="s">
        <v>90</v>
      </c>
      <c r="F2900" t="s">
        <v>6182</v>
      </c>
      <c r="G2900" t="str">
        <f>"00532978"</f>
        <v>00532978</v>
      </c>
      <c r="H2900">
        <v>0</v>
      </c>
      <c r="I2900">
        <v>0</v>
      </c>
      <c r="M2900">
        <v>4</v>
      </c>
      <c r="N2900">
        <v>0</v>
      </c>
      <c r="O2900">
        <v>0</v>
      </c>
      <c r="P2900">
        <v>4</v>
      </c>
      <c r="Q2900">
        <v>0</v>
      </c>
      <c r="R2900">
        <v>0</v>
      </c>
      <c r="S2900">
        <v>0</v>
      </c>
      <c r="T2900">
        <v>0</v>
      </c>
      <c r="U2900" s="1">
        <v>0</v>
      </c>
      <c r="V2900">
        <v>4</v>
      </c>
    </row>
    <row r="2901" spans="1:22" ht="15">
      <c r="A2901" s="4">
        <v>2894</v>
      </c>
      <c r="B2901">
        <v>2544</v>
      </c>
      <c r="C2901" t="s">
        <v>2922</v>
      </c>
      <c r="D2901" t="s">
        <v>643</v>
      </c>
      <c r="E2901" t="s">
        <v>2924</v>
      </c>
      <c r="F2901" t="s">
        <v>6183</v>
      </c>
      <c r="G2901" t="str">
        <f>"00329868"</f>
        <v>00329868</v>
      </c>
      <c r="H2901">
        <v>0</v>
      </c>
      <c r="I2901">
        <v>0</v>
      </c>
      <c r="M2901">
        <v>4</v>
      </c>
      <c r="N2901">
        <v>0</v>
      </c>
      <c r="O2901">
        <v>0</v>
      </c>
      <c r="P2901">
        <v>4</v>
      </c>
      <c r="Q2901">
        <v>0</v>
      </c>
      <c r="R2901">
        <v>0</v>
      </c>
      <c r="S2901">
        <v>0</v>
      </c>
      <c r="T2901">
        <v>0</v>
      </c>
      <c r="U2901" s="1">
        <v>0</v>
      </c>
      <c r="V2901">
        <v>4</v>
      </c>
    </row>
    <row r="2902" spans="1:22" ht="15">
      <c r="A2902" s="4">
        <v>2895</v>
      </c>
      <c r="B2902">
        <v>3177</v>
      </c>
      <c r="C2902" t="s">
        <v>6184</v>
      </c>
      <c r="D2902" t="s">
        <v>259</v>
      </c>
      <c r="E2902" t="s">
        <v>1335</v>
      </c>
      <c r="F2902" t="s">
        <v>6185</v>
      </c>
      <c r="G2902" t="str">
        <f>"00528230"</f>
        <v>00528230</v>
      </c>
      <c r="H2902">
        <v>0</v>
      </c>
      <c r="I2902">
        <v>0</v>
      </c>
      <c r="M2902">
        <v>4</v>
      </c>
      <c r="N2902">
        <v>0</v>
      </c>
      <c r="O2902">
        <v>0</v>
      </c>
      <c r="P2902">
        <v>4</v>
      </c>
      <c r="Q2902">
        <v>0</v>
      </c>
      <c r="R2902">
        <v>0</v>
      </c>
      <c r="S2902">
        <v>0</v>
      </c>
      <c r="T2902">
        <v>0</v>
      </c>
      <c r="U2902" s="1">
        <v>0</v>
      </c>
      <c r="V2902">
        <v>4</v>
      </c>
    </row>
    <row r="2903" spans="1:22" ht="15">
      <c r="A2903" s="4">
        <v>2896</v>
      </c>
      <c r="B2903">
        <v>1892</v>
      </c>
      <c r="C2903" t="s">
        <v>6186</v>
      </c>
      <c r="D2903" t="s">
        <v>6187</v>
      </c>
      <c r="E2903" t="s">
        <v>6188</v>
      </c>
      <c r="F2903" t="s">
        <v>6189</v>
      </c>
      <c r="G2903" t="str">
        <f>"00512983"</f>
        <v>00512983</v>
      </c>
      <c r="H2903">
        <v>0</v>
      </c>
      <c r="I2903">
        <v>0</v>
      </c>
      <c r="M2903">
        <v>4</v>
      </c>
      <c r="N2903">
        <v>0</v>
      </c>
      <c r="O2903">
        <v>0</v>
      </c>
      <c r="P2903">
        <v>4</v>
      </c>
      <c r="Q2903">
        <v>0</v>
      </c>
      <c r="R2903">
        <v>0</v>
      </c>
      <c r="S2903">
        <v>0</v>
      </c>
      <c r="T2903">
        <v>0</v>
      </c>
      <c r="U2903" s="1">
        <v>0</v>
      </c>
      <c r="V2903">
        <v>4</v>
      </c>
    </row>
    <row r="2904" spans="1:22" ht="15">
      <c r="A2904" s="4">
        <v>2897</v>
      </c>
      <c r="B2904">
        <v>2608</v>
      </c>
      <c r="C2904" t="s">
        <v>6190</v>
      </c>
      <c r="D2904" t="s">
        <v>232</v>
      </c>
      <c r="E2904" t="s">
        <v>11</v>
      </c>
      <c r="F2904" t="s">
        <v>6191</v>
      </c>
      <c r="G2904" t="str">
        <f>"00530703"</f>
        <v>00530703</v>
      </c>
      <c r="H2904">
        <v>0</v>
      </c>
      <c r="I2904">
        <v>0</v>
      </c>
      <c r="L2904">
        <v>4</v>
      </c>
      <c r="M2904">
        <v>0</v>
      </c>
      <c r="N2904">
        <v>4</v>
      </c>
      <c r="O2904">
        <v>0</v>
      </c>
      <c r="P2904">
        <v>4</v>
      </c>
      <c r="Q2904">
        <v>0</v>
      </c>
      <c r="R2904">
        <v>0</v>
      </c>
      <c r="S2904">
        <v>0</v>
      </c>
      <c r="T2904">
        <v>0</v>
      </c>
      <c r="U2904" s="1">
        <v>0</v>
      </c>
      <c r="V2904">
        <v>4</v>
      </c>
    </row>
    <row r="2905" spans="1:22" ht="15">
      <c r="A2905" s="4">
        <v>2898</v>
      </c>
      <c r="B2905">
        <v>1903</v>
      </c>
      <c r="C2905" t="s">
        <v>6192</v>
      </c>
      <c r="D2905" t="s">
        <v>6193</v>
      </c>
      <c r="E2905" t="s">
        <v>30</v>
      </c>
      <c r="F2905" t="s">
        <v>6194</v>
      </c>
      <c r="G2905" t="str">
        <f>"00530057"</f>
        <v>00530057</v>
      </c>
      <c r="H2905">
        <v>0</v>
      </c>
      <c r="I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3</v>
      </c>
      <c r="T2905">
        <v>0</v>
      </c>
      <c r="U2905" s="1">
        <v>0</v>
      </c>
      <c r="V2905">
        <v>3</v>
      </c>
    </row>
    <row r="2906" spans="1:22" ht="15">
      <c r="A2906" s="4">
        <v>2899</v>
      </c>
      <c r="B2906">
        <v>3186</v>
      </c>
      <c r="C2906" t="s">
        <v>6195</v>
      </c>
      <c r="D2906" t="s">
        <v>76</v>
      </c>
      <c r="E2906" t="s">
        <v>90</v>
      </c>
      <c r="F2906" t="s">
        <v>6196</v>
      </c>
      <c r="G2906" t="str">
        <f>"00534094"</f>
        <v>00534094</v>
      </c>
      <c r="H2906">
        <v>0</v>
      </c>
      <c r="I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3</v>
      </c>
      <c r="T2906">
        <v>0</v>
      </c>
      <c r="U2906" s="1">
        <v>0</v>
      </c>
      <c r="V2906">
        <v>3</v>
      </c>
    </row>
    <row r="2907" spans="1:22" ht="15">
      <c r="A2907" s="4">
        <v>2900</v>
      </c>
      <c r="B2907">
        <v>841</v>
      </c>
      <c r="C2907" t="s">
        <v>6197</v>
      </c>
      <c r="D2907" t="s">
        <v>102</v>
      </c>
      <c r="E2907" t="s">
        <v>6198</v>
      </c>
      <c r="F2907" t="s">
        <v>6199</v>
      </c>
      <c r="G2907" t="str">
        <f>"00530775"</f>
        <v>00530775</v>
      </c>
      <c r="H2907">
        <v>0</v>
      </c>
      <c r="I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3</v>
      </c>
      <c r="T2907">
        <v>0</v>
      </c>
      <c r="U2907" s="1">
        <v>0</v>
      </c>
      <c r="V2907">
        <v>3</v>
      </c>
    </row>
    <row r="2908" spans="1:22" ht="15">
      <c r="A2908" s="4">
        <v>2901</v>
      </c>
      <c r="B2908">
        <v>2996</v>
      </c>
      <c r="C2908" t="s">
        <v>6200</v>
      </c>
      <c r="D2908" t="s">
        <v>14</v>
      </c>
      <c r="E2908" t="s">
        <v>403</v>
      </c>
      <c r="F2908" t="s">
        <v>6201</v>
      </c>
      <c r="G2908" t="str">
        <f>"00531491"</f>
        <v>00531491</v>
      </c>
      <c r="H2908">
        <v>0</v>
      </c>
      <c r="I2908">
        <v>0</v>
      </c>
      <c r="M2908">
        <v>0</v>
      </c>
      <c r="N2908">
        <v>0</v>
      </c>
      <c r="O2908">
        <v>0</v>
      </c>
      <c r="P2908">
        <v>0</v>
      </c>
      <c r="Q2908">
        <v>3</v>
      </c>
      <c r="R2908">
        <v>3</v>
      </c>
      <c r="S2908">
        <v>0</v>
      </c>
      <c r="T2908">
        <v>0</v>
      </c>
      <c r="U2908" s="1">
        <v>0</v>
      </c>
      <c r="V2908">
        <v>3</v>
      </c>
    </row>
    <row r="2909" spans="1:22" ht="15">
      <c r="A2909" s="4">
        <v>2902</v>
      </c>
      <c r="B2909">
        <v>1455</v>
      </c>
      <c r="C2909" t="s">
        <v>6202</v>
      </c>
      <c r="D2909" t="s">
        <v>14</v>
      </c>
      <c r="E2909" t="s">
        <v>6203</v>
      </c>
      <c r="F2909" t="s">
        <v>6204</v>
      </c>
      <c r="G2909" t="str">
        <f>"00532295"</f>
        <v>00532295</v>
      </c>
      <c r="H2909">
        <v>0</v>
      </c>
      <c r="I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3</v>
      </c>
      <c r="T2909">
        <v>0</v>
      </c>
      <c r="U2909" s="1">
        <v>0</v>
      </c>
      <c r="V2909">
        <v>3</v>
      </c>
    </row>
    <row r="2910" spans="1:22" ht="15">
      <c r="A2910" s="4">
        <v>2903</v>
      </c>
      <c r="B2910">
        <v>1100</v>
      </c>
      <c r="C2910" t="s">
        <v>6205</v>
      </c>
      <c r="D2910" t="s">
        <v>121</v>
      </c>
      <c r="E2910" t="s">
        <v>11</v>
      </c>
      <c r="F2910" t="s">
        <v>6206</v>
      </c>
      <c r="G2910" t="str">
        <f>"00531102"</f>
        <v>00531102</v>
      </c>
      <c r="H2910">
        <v>0</v>
      </c>
      <c r="I2910">
        <v>0</v>
      </c>
      <c r="M2910">
        <v>0</v>
      </c>
      <c r="N2910">
        <v>0</v>
      </c>
      <c r="O2910">
        <v>0</v>
      </c>
      <c r="P2910">
        <v>0</v>
      </c>
      <c r="Q2910">
        <v>3</v>
      </c>
      <c r="R2910">
        <v>3</v>
      </c>
      <c r="S2910">
        <v>0</v>
      </c>
      <c r="T2910">
        <v>0</v>
      </c>
      <c r="U2910" s="1">
        <v>0</v>
      </c>
      <c r="V2910">
        <v>3</v>
      </c>
    </row>
    <row r="2911" spans="1:22" ht="15">
      <c r="A2911" s="4">
        <v>2904</v>
      </c>
      <c r="B2911">
        <v>2386</v>
      </c>
      <c r="C2911" t="s">
        <v>6207</v>
      </c>
      <c r="D2911" t="s">
        <v>26</v>
      </c>
      <c r="E2911" t="s">
        <v>317</v>
      </c>
      <c r="F2911" t="s">
        <v>6208</v>
      </c>
      <c r="G2911" t="str">
        <f>"201604000446"</f>
        <v>201604000446</v>
      </c>
      <c r="H2911">
        <v>0</v>
      </c>
      <c r="I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3</v>
      </c>
      <c r="T2911">
        <v>0</v>
      </c>
      <c r="U2911" s="1">
        <v>0</v>
      </c>
      <c r="V2911">
        <v>3</v>
      </c>
    </row>
    <row r="2912" spans="1:22" ht="15">
      <c r="A2912" s="4">
        <v>2905</v>
      </c>
      <c r="B2912">
        <v>684</v>
      </c>
      <c r="C2912" t="s">
        <v>6209</v>
      </c>
      <c r="D2912" t="s">
        <v>6210</v>
      </c>
      <c r="E2912" t="s">
        <v>6211</v>
      </c>
      <c r="F2912" t="s">
        <v>6212</v>
      </c>
      <c r="G2912" t="str">
        <f>"00529859"</f>
        <v>00529859</v>
      </c>
      <c r="H2912">
        <v>0</v>
      </c>
      <c r="I2912">
        <v>0</v>
      </c>
      <c r="M2912">
        <v>0</v>
      </c>
      <c r="N2912">
        <v>0</v>
      </c>
      <c r="O2912">
        <v>2</v>
      </c>
      <c r="P2912">
        <v>2</v>
      </c>
      <c r="Q2912">
        <v>1</v>
      </c>
      <c r="R2912">
        <v>1</v>
      </c>
      <c r="S2912">
        <v>0</v>
      </c>
      <c r="T2912">
        <v>0</v>
      </c>
      <c r="U2912" s="1">
        <v>0</v>
      </c>
      <c r="V2912">
        <v>3</v>
      </c>
    </row>
    <row r="2913" spans="1:22" ht="15">
      <c r="A2913" s="4">
        <v>2906</v>
      </c>
      <c r="B2913">
        <v>1498</v>
      </c>
      <c r="C2913" t="s">
        <v>6213</v>
      </c>
      <c r="D2913" t="s">
        <v>26</v>
      </c>
      <c r="E2913" t="s">
        <v>15</v>
      </c>
      <c r="F2913" t="s">
        <v>6214</v>
      </c>
      <c r="G2913" t="str">
        <f>"00530508"</f>
        <v>00530508</v>
      </c>
      <c r="H2913">
        <v>2.4</v>
      </c>
      <c r="I2913">
        <v>0</v>
      </c>
      <c r="M2913">
        <v>0</v>
      </c>
      <c r="N2913">
        <v>0</v>
      </c>
      <c r="O2913">
        <v>0</v>
      </c>
      <c r="P2913">
        <v>2.4</v>
      </c>
      <c r="Q2913">
        <v>0</v>
      </c>
      <c r="R2913">
        <v>0</v>
      </c>
      <c r="S2913">
        <v>0</v>
      </c>
      <c r="T2913">
        <v>0</v>
      </c>
      <c r="U2913" s="1">
        <v>0</v>
      </c>
      <c r="V2913">
        <v>2.4</v>
      </c>
    </row>
    <row r="2914" spans="1:22" ht="15">
      <c r="A2914" s="4">
        <v>2907</v>
      </c>
      <c r="B2914">
        <v>3371</v>
      </c>
      <c r="C2914" t="s">
        <v>199</v>
      </c>
      <c r="D2914" t="s">
        <v>6215</v>
      </c>
      <c r="E2914" t="s">
        <v>90</v>
      </c>
      <c r="F2914" t="s">
        <v>6216</v>
      </c>
      <c r="G2914" t="str">
        <f>"00533668"</f>
        <v>00533668</v>
      </c>
      <c r="H2914">
        <v>0</v>
      </c>
      <c r="I2914">
        <v>0</v>
      </c>
      <c r="M2914">
        <v>0</v>
      </c>
      <c r="N2914">
        <v>0</v>
      </c>
      <c r="O2914">
        <v>2</v>
      </c>
      <c r="P2914">
        <v>2</v>
      </c>
      <c r="Q2914">
        <v>0</v>
      </c>
      <c r="R2914">
        <v>0</v>
      </c>
      <c r="S2914">
        <v>0</v>
      </c>
      <c r="T2914">
        <v>0</v>
      </c>
      <c r="U2914" s="1">
        <v>0</v>
      </c>
      <c r="V2914">
        <v>2</v>
      </c>
    </row>
    <row r="2915" spans="1:22" ht="15">
      <c r="A2915" s="4">
        <v>2908</v>
      </c>
      <c r="B2915">
        <v>2228</v>
      </c>
      <c r="C2915" t="s">
        <v>6217</v>
      </c>
      <c r="D2915" t="s">
        <v>156</v>
      </c>
      <c r="E2915" t="s">
        <v>6218</v>
      </c>
      <c r="F2915" t="s">
        <v>6219</v>
      </c>
      <c r="G2915" t="str">
        <f>"00530681"</f>
        <v>00530681</v>
      </c>
      <c r="H2915">
        <v>0</v>
      </c>
      <c r="I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 s="1">
        <v>0</v>
      </c>
      <c r="V2915">
        <v>0</v>
      </c>
    </row>
    <row r="2916" spans="1:22" ht="15">
      <c r="A2916" s="4">
        <v>2909</v>
      </c>
      <c r="B2916">
        <v>525</v>
      </c>
      <c r="C2916" t="s">
        <v>5882</v>
      </c>
      <c r="D2916" t="s">
        <v>892</v>
      </c>
      <c r="E2916" t="s">
        <v>11</v>
      </c>
      <c r="F2916" t="s">
        <v>6220</v>
      </c>
      <c r="G2916" t="str">
        <f>"00525752"</f>
        <v>00525752</v>
      </c>
      <c r="H2916">
        <v>0</v>
      </c>
      <c r="I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 s="1">
        <v>0</v>
      </c>
      <c r="V2916">
        <v>0</v>
      </c>
    </row>
    <row r="2917" spans="1:22" ht="15">
      <c r="A2917" s="4">
        <v>2910</v>
      </c>
      <c r="B2917">
        <v>575</v>
      </c>
      <c r="C2917" t="s">
        <v>6221</v>
      </c>
      <c r="D2917" t="s">
        <v>273</v>
      </c>
      <c r="E2917" t="s">
        <v>1497</v>
      </c>
      <c r="F2917" t="s">
        <v>6222</v>
      </c>
      <c r="G2917" t="str">
        <f>"00529678"</f>
        <v>00529678</v>
      </c>
      <c r="H2917">
        <v>0</v>
      </c>
      <c r="I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 s="1">
        <v>0</v>
      </c>
      <c r="V2917">
        <v>0</v>
      </c>
    </row>
    <row r="2918" spans="1:22" ht="15">
      <c r="A2918" s="4">
        <v>2911</v>
      </c>
      <c r="B2918">
        <v>155</v>
      </c>
      <c r="C2918" t="s">
        <v>5042</v>
      </c>
      <c r="D2918" t="s">
        <v>211</v>
      </c>
      <c r="E2918" t="s">
        <v>59</v>
      </c>
      <c r="F2918" t="s">
        <v>6223</v>
      </c>
      <c r="G2918" t="str">
        <f>"00441782"</f>
        <v>00441782</v>
      </c>
      <c r="H2918">
        <v>0</v>
      </c>
      <c r="I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 s="1">
        <v>0</v>
      </c>
      <c r="V2918">
        <v>0</v>
      </c>
    </row>
    <row r="2919" spans="1:22" ht="15">
      <c r="A2919" s="4">
        <v>2912</v>
      </c>
      <c r="B2919">
        <v>3372</v>
      </c>
      <c r="C2919" t="s">
        <v>6224</v>
      </c>
      <c r="D2919" t="s">
        <v>5371</v>
      </c>
      <c r="E2919" t="s">
        <v>15</v>
      </c>
      <c r="F2919" t="s">
        <v>6225</v>
      </c>
      <c r="G2919" t="str">
        <f>"00532175"</f>
        <v>00532175</v>
      </c>
      <c r="H2919">
        <v>0</v>
      </c>
      <c r="I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 s="1">
        <v>0</v>
      </c>
      <c r="V2919">
        <v>0</v>
      </c>
    </row>
    <row r="2920" spans="1:22" ht="15">
      <c r="A2920" s="4">
        <v>2913</v>
      </c>
      <c r="B2920">
        <v>1358</v>
      </c>
      <c r="C2920" t="s">
        <v>6226</v>
      </c>
      <c r="D2920" t="s">
        <v>173</v>
      </c>
      <c r="E2920" t="s">
        <v>99</v>
      </c>
      <c r="F2920" t="s">
        <v>6227</v>
      </c>
      <c r="G2920" t="str">
        <f>"201511007441"</f>
        <v>201511007441</v>
      </c>
      <c r="H2920">
        <v>0</v>
      </c>
      <c r="I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 s="1">
        <v>0</v>
      </c>
      <c r="V2920">
        <v>0</v>
      </c>
    </row>
    <row r="2921" spans="1:22" ht="15">
      <c r="A2921" s="4">
        <v>2914</v>
      </c>
      <c r="B2921">
        <v>3029</v>
      </c>
      <c r="C2921" t="s">
        <v>6228</v>
      </c>
      <c r="D2921" t="s">
        <v>6229</v>
      </c>
      <c r="E2921" t="s">
        <v>2091</v>
      </c>
      <c r="F2921" t="s">
        <v>6230</v>
      </c>
      <c r="G2921" t="str">
        <f>"00463180"</f>
        <v>00463180</v>
      </c>
      <c r="H2921">
        <v>0</v>
      </c>
      <c r="I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 s="1">
        <v>0</v>
      </c>
      <c r="V2921">
        <v>0</v>
      </c>
    </row>
    <row r="2922" spans="1:22" ht="15">
      <c r="A2922" s="4">
        <v>2915</v>
      </c>
      <c r="B2922">
        <v>788</v>
      </c>
      <c r="C2922" t="s">
        <v>6231</v>
      </c>
      <c r="D2922" t="s">
        <v>176</v>
      </c>
      <c r="E2922" t="s">
        <v>11</v>
      </c>
      <c r="F2922" t="s">
        <v>6232</v>
      </c>
      <c r="G2922" t="str">
        <f>"00484181"</f>
        <v>00484181</v>
      </c>
      <c r="H2922">
        <v>0</v>
      </c>
      <c r="I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 s="1">
        <v>0</v>
      </c>
      <c r="V2922">
        <v>0</v>
      </c>
    </row>
    <row r="2923" spans="1:22" ht="15">
      <c r="A2923" s="4">
        <v>2916</v>
      </c>
      <c r="B2923">
        <v>2914</v>
      </c>
      <c r="C2923" t="s">
        <v>6233</v>
      </c>
      <c r="D2923" t="s">
        <v>5030</v>
      </c>
      <c r="E2923" t="s">
        <v>23</v>
      </c>
      <c r="F2923" t="s">
        <v>6234</v>
      </c>
      <c r="G2923" t="str">
        <f>"00531984"</f>
        <v>00531984</v>
      </c>
      <c r="H2923">
        <v>0</v>
      </c>
      <c r="I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 s="1">
        <v>0</v>
      </c>
      <c r="V2923">
        <v>0</v>
      </c>
    </row>
    <row r="2924" spans="1:22" ht="15">
      <c r="A2924" s="4">
        <v>2917</v>
      </c>
      <c r="B2924">
        <v>1109</v>
      </c>
      <c r="C2924" t="s">
        <v>6104</v>
      </c>
      <c r="D2924" t="s">
        <v>89</v>
      </c>
      <c r="E2924" t="s">
        <v>73</v>
      </c>
      <c r="F2924" t="s">
        <v>6235</v>
      </c>
      <c r="G2924" t="str">
        <f>"00495314"</f>
        <v>00495314</v>
      </c>
      <c r="H2924">
        <v>0</v>
      </c>
      <c r="I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 s="1">
        <v>0</v>
      </c>
      <c r="V2924">
        <v>0</v>
      </c>
    </row>
    <row r="2925" spans="1:22" ht="15">
      <c r="A2925" s="4">
        <v>2918</v>
      </c>
      <c r="B2925">
        <v>797</v>
      </c>
      <c r="C2925" t="s">
        <v>4287</v>
      </c>
      <c r="D2925" t="s">
        <v>6236</v>
      </c>
      <c r="E2925" t="s">
        <v>83</v>
      </c>
      <c r="F2925" t="s">
        <v>6237</v>
      </c>
      <c r="G2925" t="str">
        <f>"00514989"</f>
        <v>00514989</v>
      </c>
      <c r="H2925">
        <v>0</v>
      </c>
      <c r="I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 s="1">
        <v>0</v>
      </c>
      <c r="V2925">
        <v>0</v>
      </c>
    </row>
    <row r="2926" spans="1:22" ht="15">
      <c r="A2926" s="4">
        <v>2919</v>
      </c>
      <c r="B2926">
        <v>2209</v>
      </c>
      <c r="C2926" t="s">
        <v>6238</v>
      </c>
      <c r="D2926" t="s">
        <v>3150</v>
      </c>
      <c r="E2926" t="s">
        <v>344</v>
      </c>
      <c r="F2926" t="s">
        <v>6239</v>
      </c>
      <c r="G2926" t="str">
        <f>"00459343"</f>
        <v>00459343</v>
      </c>
      <c r="H2926">
        <v>0</v>
      </c>
      <c r="I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 s="1">
        <v>0</v>
      </c>
      <c r="V2926">
        <v>0</v>
      </c>
    </row>
    <row r="2927" spans="1:22" ht="15">
      <c r="A2927" s="4">
        <v>2920</v>
      </c>
      <c r="B2927">
        <v>1658</v>
      </c>
      <c r="C2927" t="s">
        <v>6240</v>
      </c>
      <c r="D2927" t="s">
        <v>4482</v>
      </c>
      <c r="E2927" t="s">
        <v>41</v>
      </c>
      <c r="F2927" t="s">
        <v>6241</v>
      </c>
      <c r="G2927" t="str">
        <f>"00525105"</f>
        <v>00525105</v>
      </c>
      <c r="H2927">
        <v>0</v>
      </c>
      <c r="I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 s="1">
        <v>0</v>
      </c>
      <c r="V2927">
        <v>0</v>
      </c>
    </row>
    <row r="2928" spans="1:22" ht="15">
      <c r="A2928" s="4">
        <v>2921</v>
      </c>
      <c r="B2928">
        <v>949</v>
      </c>
      <c r="C2928" t="s">
        <v>6242</v>
      </c>
      <c r="D2928" t="s">
        <v>156</v>
      </c>
      <c r="E2928" t="s">
        <v>23</v>
      </c>
      <c r="F2928" t="s">
        <v>6243</v>
      </c>
      <c r="G2928" t="str">
        <f>"00530991"</f>
        <v>00530991</v>
      </c>
      <c r="H2928">
        <v>0</v>
      </c>
      <c r="I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 s="1">
        <v>0</v>
      </c>
      <c r="V2928">
        <v>0</v>
      </c>
    </row>
    <row r="2929" spans="1:22" ht="15">
      <c r="A2929" s="4">
        <v>2922</v>
      </c>
      <c r="B2929">
        <v>3351</v>
      </c>
      <c r="C2929" t="s">
        <v>6244</v>
      </c>
      <c r="D2929" t="s">
        <v>29</v>
      </c>
      <c r="E2929" t="s">
        <v>11</v>
      </c>
      <c r="F2929" t="s">
        <v>6245</v>
      </c>
      <c r="G2929" t="str">
        <f>"00150533"</f>
        <v>00150533</v>
      </c>
      <c r="H2929">
        <v>0</v>
      </c>
      <c r="I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 s="1">
        <v>0</v>
      </c>
      <c r="V2929">
        <v>0</v>
      </c>
    </row>
    <row r="2930" spans="1:22" ht="15">
      <c r="A2930" s="4">
        <v>2923</v>
      </c>
      <c r="B2930">
        <v>2756</v>
      </c>
      <c r="C2930" t="s">
        <v>6246</v>
      </c>
      <c r="D2930" t="s">
        <v>58</v>
      </c>
      <c r="E2930" t="s">
        <v>270</v>
      </c>
      <c r="F2930" t="s">
        <v>6247</v>
      </c>
      <c r="G2930" t="str">
        <f>"00531930"</f>
        <v>00531930</v>
      </c>
      <c r="H2930">
        <v>0</v>
      </c>
      <c r="I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 s="1">
        <v>0</v>
      </c>
      <c r="V2930">
        <v>0</v>
      </c>
    </row>
    <row r="2932" s="5" customFormat="1" ht="15.75">
      <c r="A2932" s="5" t="s">
        <v>6252</v>
      </c>
    </row>
    <row r="2933" s="5" customFormat="1" ht="15.75">
      <c r="A2933" s="5" t="s">
        <v>6253</v>
      </c>
    </row>
    <row r="2934" s="5" customFormat="1" ht="15.75">
      <c r="A2934" s="5" t="s">
        <v>6254</v>
      </c>
    </row>
    <row r="2935" s="5" customFormat="1" ht="15.75">
      <c r="A2935" s="5" t="s">
        <v>6255</v>
      </c>
    </row>
    <row r="2936" s="5" customFormat="1" ht="15.75">
      <c r="A2936" s="5" t="s">
        <v>6256</v>
      </c>
    </row>
    <row r="2937" s="5" customFormat="1" ht="15.75">
      <c r="A2937" s="5" t="s">
        <v>6257</v>
      </c>
    </row>
    <row r="2938" s="5" customFormat="1" ht="15.75">
      <c r="A2938" s="5" t="s">
        <v>6258</v>
      </c>
    </row>
    <row r="2939" s="5" customFormat="1" ht="15.75">
      <c r="A2939" s="5" t="s">
        <v>6259</v>
      </c>
    </row>
    <row r="2940" s="5" customFormat="1" ht="15.75">
      <c r="A2940" s="5" t="s">
        <v>6260</v>
      </c>
    </row>
    <row r="2941" s="5" customFormat="1" ht="15.75">
      <c r="A2941" s="5" t="s">
        <v>6261</v>
      </c>
    </row>
    <row r="2942" s="5" customFormat="1" ht="15.75">
      <c r="A2942" s="5" t="s">
        <v>6262</v>
      </c>
    </row>
    <row r="2943" s="5" customFormat="1" ht="15.75">
      <c r="A2943" s="5" t="s">
        <v>6263</v>
      </c>
    </row>
    <row r="2944" s="5" customFormat="1" ht="15.75">
      <c r="A2944" s="5" t="s">
        <v>6264</v>
      </c>
    </row>
    <row r="2945" s="5" customFormat="1" ht="15.75">
      <c r="A2945" s="5" t="s">
        <v>6265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pdeuser</cp:lastModifiedBy>
  <dcterms:created xsi:type="dcterms:W3CDTF">2019-09-19T11:44:30Z</dcterms:created>
  <dcterms:modified xsi:type="dcterms:W3CDTF">2019-09-20T05:59:37Z</dcterms:modified>
  <cp:category/>
  <cp:version/>
  <cp:contentType/>
  <cp:contentStatus/>
</cp:coreProperties>
</file>